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bSh/8zKfmhcu8jsvIGD1U7wRUPUr3xd7KY4xtQRC0SMnIgagSezq3o+tR/4QGtdOfX3h1zfNFCTt6dIJfpckA==" workbookSaltValue="EpwvEwrwuD50b/KmMH9jh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R19" i="8"/>
  <c r="EQ19" i="8"/>
  <c r="BA13" i="16"/>
  <c r="W19" i="13"/>
  <c r="R8" i="9"/>
  <c r="X12" i="21" s="1"/>
  <c r="Z19" i="8"/>
  <c r="AL13" i="16"/>
  <c r="BH17" i="16"/>
  <c r="BF17" i="11"/>
  <c r="S13" i="16"/>
  <c r="P13" i="16"/>
  <c r="AN13" i="20"/>
  <c r="Z13" i="17"/>
  <c r="M18" i="2"/>
  <c r="H13" i="12"/>
  <c r="T13" i="12"/>
  <c r="S9" i="17"/>
  <c r="S9" i="14"/>
  <c r="V9" i="14" s="1"/>
  <c r="BJ15" i="11"/>
  <c r="AP15" i="20"/>
  <c r="R17" i="20"/>
  <c r="R18" i="20" s="1"/>
  <c r="T17" i="16"/>
  <c r="BU15" i="17"/>
  <c r="BW17" i="20"/>
  <c r="BW16" i="20"/>
  <c r="BW15" i="20"/>
  <c r="BV10" i="16"/>
  <c r="BU16" i="17"/>
  <c r="S12" i="14"/>
  <c r="V12" i="14" s="1"/>
  <c r="S15" i="16"/>
  <c r="BF12" i="11"/>
  <c r="BL10" i="11"/>
  <c r="BK16" i="11"/>
  <c r="BG16" i="11"/>
  <c r="BM9" i="11"/>
  <c r="BK10" i="11"/>
  <c r="BD9" i="8"/>
  <c r="E13" i="17"/>
  <c r="X15" i="16"/>
  <c r="X18" i="16" s="1"/>
  <c r="T13" i="20"/>
  <c r="T13" i="16"/>
  <c r="AP13" i="16"/>
  <c r="T18" i="17"/>
  <c r="BG15" i="13"/>
  <c r="J20" i="20"/>
  <c r="AF20" i="20"/>
  <c r="M20" i="20"/>
  <c r="S20" i="20"/>
  <c r="K20" i="20"/>
  <c r="Z20" i="20"/>
  <c r="AM20" i="20"/>
  <c r="AK20" i="20"/>
  <c r="W20" i="21"/>
  <c r="F20" i="20"/>
  <c r="AG20" i="20"/>
  <c r="D17" i="6" l="1"/>
  <c r="G18" i="12"/>
  <c r="AJ19" i="8"/>
  <c r="BD15" i="8"/>
  <c r="E18" i="12"/>
  <c r="T19" i="8"/>
  <c r="D18" i="12"/>
  <c r="I19" i="8"/>
  <c r="AC12" i="11"/>
  <c r="BF12" i="8"/>
  <c r="BG12" i="8"/>
  <c r="K12" i="7" s="1"/>
  <c r="C19" i="3"/>
  <c r="AY13" i="8"/>
  <c r="AA19" i="8"/>
  <c r="BE9" i="8"/>
  <c r="I9" i="7" s="1"/>
  <c r="BG9" i="8"/>
  <c r="B13" i="7"/>
  <c r="G18" i="2"/>
  <c r="V9" i="16"/>
  <c r="V10" i="16"/>
  <c r="L15" i="2"/>
  <c r="S15" i="17"/>
  <c r="BH12" i="16"/>
  <c r="S17" i="17"/>
  <c r="BH11" i="11"/>
  <c r="BJ10" i="11"/>
  <c r="BL15" i="11"/>
  <c r="P15" i="17"/>
  <c r="S11" i="14"/>
  <c r="V11" i="14" s="1"/>
  <c r="BV9" i="16"/>
  <c r="BU17" i="17"/>
  <c r="BU9" i="17"/>
  <c r="BV15" i="16"/>
  <c r="BV16" i="16"/>
  <c r="BW9" i="20"/>
  <c r="T15" i="16"/>
  <c r="BK17" i="11"/>
  <c r="BG15" i="11"/>
  <c r="BJ12" i="11"/>
  <c r="BI15" i="11"/>
  <c r="BM12" i="11"/>
  <c r="S17" i="16"/>
  <c r="BM16" i="11"/>
  <c r="BH11" i="16"/>
  <c r="BG16" i="13"/>
  <c r="BD16" i="13"/>
  <c r="BE15" i="13"/>
  <c r="BE16" i="13"/>
  <c r="BD11" i="13"/>
  <c r="F11" i="16"/>
  <c r="AA9" i="16"/>
  <c r="L9" i="2"/>
  <c r="U9" i="17"/>
  <c r="U19" i="17" s="1"/>
  <c r="L17" i="2"/>
  <c r="BL16" i="11"/>
  <c r="BJ16" i="11"/>
  <c r="AQ12" i="21"/>
  <c r="BH16" i="11"/>
  <c r="BF15" i="11"/>
  <c r="BM17" i="11"/>
  <c r="Q15" i="17"/>
  <c r="BH10" i="16"/>
  <c r="S10" i="17"/>
  <c r="AQ10" i="21"/>
  <c r="BI9" i="11"/>
  <c r="BH10" i="11"/>
  <c r="Q17" i="17"/>
  <c r="BG12" i="11"/>
  <c r="X15" i="17"/>
  <c r="AA17" i="16"/>
  <c r="BU12" i="17"/>
  <c r="S11" i="17"/>
  <c r="BW10" i="20"/>
  <c r="U10" i="17"/>
  <c r="BW11" i="20"/>
  <c r="BV11" i="16"/>
  <c r="BW12" i="20"/>
  <c r="BV12" i="16"/>
  <c r="BU10" i="17"/>
  <c r="BV17" i="16"/>
  <c r="BU11" i="17"/>
  <c r="AZ15" i="11"/>
  <c r="AZ18" i="11" s="1"/>
  <c r="AP17" i="20"/>
  <c r="BM15" i="11"/>
  <c r="BH17" i="11"/>
  <c r="BL11" i="11"/>
  <c r="BG9" i="11"/>
  <c r="BI17" i="11"/>
  <c r="R10" i="21"/>
  <c r="R13" i="21" s="1"/>
  <c r="BJ11" i="11"/>
  <c r="V9" i="11"/>
  <c r="BH9" i="11"/>
  <c r="AP10" i="21"/>
  <c r="BK15" i="11"/>
  <c r="X11" i="17"/>
  <c r="BL12" i="11"/>
  <c r="BF16" i="11"/>
  <c r="P17" i="17"/>
  <c r="P18" i="17" s="1"/>
  <c r="P19" i="17" s="1"/>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J15" i="12" l="1"/>
  <c r="I12" i="12"/>
  <c r="K10" i="12"/>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<sst xmlns="http://schemas.openxmlformats.org/spreadsheetml/2006/main" count="2066" uniqueCount="904">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</sst>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898</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723</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UKEWE4Ctm1bA17AEFbf+C8dtLMh4aq5qFVz/Qd9LEMXsn/zX2y2wjb+TO7Ejvk34AJfje2R7XLuA1b71PqKZg==" saltValue="bFUipj2dSJyvXoI0R81b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GALICIA</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820</v>
      </c>
      <c r="T7" s="1148" t="s">
        <v>821</v>
      </c>
      <c r="U7" s="1148" t="s">
        <v>822</v>
      </c>
      <c r="V7" s="1148" t="s">
        <v>823</v>
      </c>
      <c r="W7" s="1094" t="s">
        <v>444</v>
      </c>
      <c r="X7" s="1162" t="s">
        <v>839</v>
      </c>
      <c r="Y7" s="1162" t="s">
        <v>840</v>
      </c>
      <c r="Z7" s="1163" t="s">
        <v>841</v>
      </c>
      <c r="AA7" s="1097" t="s">
        <v>444</v>
      </c>
      <c r="AB7" s="1162" t="s">
        <v>445</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6.0441512989635209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96</v>
      </c>
      <c r="D10" s="228">
        <f>IF(ISNUMBER(Datos!I10),Datos!I10," - ")</f>
        <v>96</v>
      </c>
      <c r="E10" s="229">
        <f>IF(ISNUMBER(Datos!J10),Datos!J10," - ")</f>
        <v>59</v>
      </c>
      <c r="F10" s="229">
        <f>IF(ISNUMBER(Datos!K10),Datos!K10," - ")</f>
        <v>82</v>
      </c>
      <c r="G10" s="1037" t="str">
        <f>IF(Datos!E10&lt;&gt;"",Datos!E10,Datos!D10)</f>
        <v>37</v>
      </c>
      <c r="H10" s="230">
        <f>IF(ISNUMBER(Datos!L10),Datos!L10," - ")</f>
        <v>73</v>
      </c>
      <c r="I10" s="1047" t="str">
        <f>IF(ISNUMBER(Datos!AS10/Datos!BM10),Datos!AS10/Datos!BM10," - ")</f>
        <v xml:space="preserve"> - </v>
      </c>
      <c r="J10" s="1048">
        <f>IF(ISNUMBER(Datos!BY10/Datos!CN10),Datos!BY10/Datos!CN10," - ")</f>
        <v>0</v>
      </c>
      <c r="K10" s="233">
        <f t="shared" ref="K10:K12" si="1">IF(ISNUMBER((E10-F10)/C10),(E10-F10)/C10," - ")</f>
        <v>-0.23958333333333334</v>
      </c>
      <c r="L10" s="1028">
        <f>IF(ISNUMBER(NºAsuntos!I10/NºAsuntos!G10),(NºAsuntos!I10/NºAsuntos!G10)*11," - ")</f>
        <v>9.7926829268292686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3.7850655903128154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7.333333333333333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96</v>
      </c>
      <c r="D13" s="1052">
        <f>SUBTOTAL(9,D9:D12)</f>
        <v>96</v>
      </c>
      <c r="E13" s="1053">
        <f>SUBTOTAL(9,E9:E12)</f>
        <v>59</v>
      </c>
      <c r="F13" s="1054">
        <f>SUBTOTAL(9,F9:F12)</f>
        <v>82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1494</v>
      </c>
      <c r="D15" s="228">
        <f>IF(ISNUMBER(IF(D_I="SI",Datos!I15,Datos!I15+Datos!AC15)),IF(D_I="SI",Datos!I15,Datos!I15+Datos!AC15)," - ")</f>
        <v>1841</v>
      </c>
      <c r="E15" s="229">
        <f>IF(ISNUMBER(IF(D_I="SI",Datos!J15,Datos!J15+Datos!AD15)),IF(D_I="SI",Datos!J15,Datos!J15+Datos!AD15)," - ")</f>
        <v>5883</v>
      </c>
      <c r="F15" s="229">
        <f>IF(ISNUMBER(IF(D_I="SI",Datos!K15,Datos!K15+Datos!AE15)),IF(D_I="SI",Datos!K15,Datos!K15+Datos!AE15)," - ")</f>
        <v>5203</v>
      </c>
      <c r="G15" s="1037" t="str">
        <f>IF(Datos!E15&lt;&gt;"",Datos!E15,Datos!D15)</f>
        <v>03</v>
      </c>
      <c r="H15" s="230">
        <f>IF(ISNUMBER(IF(D_I="SI",Datos!L15,Datos!L15+Datos!AF15)),IF(D_I="SI",Datos!L15,Datos!L15+Datos!AF15)," - ")</f>
        <v>2174</v>
      </c>
      <c r="I15" s="1047" t="str">
        <f>IF(ISNUMBER(Datos!AS15/Datos!BM15),Datos!AS15/Datos!BM15," - ")</f>
        <v xml:space="preserve"> - </v>
      </c>
      <c r="J15" s="1048">
        <f>IF(ISNUMBER(Datos!BY15/Datos!CN15),Datos!BY15/Datos!CN15," - ")</f>
        <v>0</v>
      </c>
      <c r="K15" s="233">
        <f t="shared" ref="K15:K17" si="3">IF(ISNUMBER((E15-F15)/C15),(E15-F15)/C15," - ")</f>
        <v>0.45515394912985274</v>
      </c>
      <c r="L15" s="1028">
        <f>IF(ISNUMBER(NºAsuntos!I15/NºAsuntos!G15),(NºAsuntos!I15/NºAsuntos!G15)*11," - ")</f>
        <v>4.5961945031712474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194</v>
      </c>
      <c r="D17" s="228">
        <f>IF(ISNUMBER(IF(D_I="SI",Datos!I17,Datos!I17+Datos!AC17)),IF(D_I="SI",Datos!I17,Datos!I17+Datos!AC17)," - ")</f>
        <v>194</v>
      </c>
      <c r="E17" s="229">
        <f>IF(ISNUMBER(IF(D_I="SI",Datos!J17,Datos!J17+Datos!AD17)),IF(D_I="SI",Datos!J17,Datos!J17+Datos!AD17)," - ")</f>
        <v>484</v>
      </c>
      <c r="F17" s="229">
        <f>IF(ISNUMBER(IF(D_I="SI",Datos!K17,Datos!K17+Datos!AE17)),IF(D_I="SI",Datos!K17,Datos!K17+Datos!AE17)," - ")</f>
        <v>495</v>
      </c>
      <c r="G17" s="1037" t="str">
        <f>IF(Datos!E17&lt;&gt;"",Datos!E17,Datos!D17)</f>
        <v>37</v>
      </c>
      <c r="H17" s="230">
        <f>IF(ISNUMBER(IF(D_I="SI",Datos!L17,Datos!L17+Datos!AF17)),IF(D_I="SI",Datos!L17,Datos!L17+Datos!AF17)," - ")</f>
        <v>183</v>
      </c>
      <c r="I17" s="1047" t="str">
        <f>IF(ISNUMBER(Datos!AS17/Datos!BM17),Datos!AS17/Datos!BM17," - ")</f>
        <v xml:space="preserve"> - </v>
      </c>
      <c r="J17" s="1048" t="str">
        <f>IF(ISNUMBER((Datos!BY17+Datos!BZ17)/Datos!CN17),(Datos!BY17+Datos!BZ17)/Datos!CN17," - ")</f>
        <v xml:space="preserve"> - </v>
      </c>
      <c r="K17" s="233">
        <f t="shared" si="3"/>
        <v>-5.6701030927835051E-2</v>
      </c>
      <c r="L17" s="1028">
        <f>IF(ISNUMBER(NºAsuntos!I17/NºAsuntos!G17),(NºAsuntos!I17/NºAsuntos!G17)*11," - ")</f>
        <v>4.0666666666666664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1688</v>
      </c>
      <c r="D18" s="1052">
        <f>SUBTOTAL(9,D15:D17)</f>
        <v>2035</v>
      </c>
      <c r="E18" s="1053">
        <f>SUBTOTAL(9,E15:E17)</f>
        <v>6367</v>
      </c>
      <c r="F18" s="1053">
        <f>SUBTOTAL(9,F15:F17)</f>
        <v>5698</v>
      </c>
      <c r="G18" s="1055" t="str">
        <f ca="1">INDIRECT(CONCATENATE("G",ROW()-1))</f>
        <v>37</v>
      </c>
      <c r="H18" s="1056">
        <f ca="1">SUMIF(G$14:G17,G18,H$14:H17)</f>
        <v>183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1784</v>
      </c>
      <c r="D19" s="1074">
        <f>SUBTOTAL(9,D9:D18)</f>
        <v>2131</v>
      </c>
      <c r="E19" s="1075">
        <f>SUBTOTAL(9,E9:E18)</f>
        <v>6426</v>
      </c>
      <c r="F19" s="1075">
        <f>SUBTOTAL(9,F9:F18)</f>
        <v>5780</v>
      </c>
      <c r="G19" s="1076"/>
      <c r="H19" s="1077">
        <f ca="1">SUMIF(B9:B18,"TOTAL",H9:H18)</f>
        <v>183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630</v>
      </c>
      <c r="O25" s="1318"/>
      <c r="P25" s="1318"/>
      <c r="Q25" s="1318"/>
      <c r="R25" s="1318"/>
      <c r="S25" s="1318"/>
      <c r="T25" s="1318"/>
      <c r="U25" s="1318"/>
      <c r="V25" s="1318"/>
      <c r="W25" s="1318"/>
      <c r="Y25" s="1318" t="s">
        <v>631</v>
      </c>
      <c r="Z25" s="1318"/>
      <c r="AA25" s="1318"/>
      <c r="AB25" s="1318"/>
      <c r="AC25" s="1318"/>
      <c r="AD25" s="1318"/>
    </row>
    <row r="27" spans="1:31">
      <c r="N27" s="1034" t="s">
        <v>632</v>
      </c>
      <c r="O27" s="1314" t="s">
        <v>633</v>
      </c>
      <c r="P27" s="1314"/>
      <c r="Q27" s="1314"/>
      <c r="R27" s="1314"/>
      <c r="S27" s="1314"/>
      <c r="T27" s="1314"/>
      <c r="U27" s="1314"/>
      <c r="V27" s="1314"/>
      <c r="W27" s="1314"/>
      <c r="Y27" s="1034" t="s">
        <v>632</v>
      </c>
      <c r="Z27" s="1316" t="s">
        <v>634</v>
      </c>
      <c r="AA27" s="1316"/>
      <c r="AB27" s="1316"/>
      <c r="AC27" s="1316"/>
      <c r="AD27" s="1316"/>
    </row>
    <row r="28" spans="1:31">
      <c r="N28" s="1034" t="s">
        <v>635</v>
      </c>
      <c r="O28" s="1314" t="s">
        <v>636</v>
      </c>
      <c r="P28" s="1314"/>
      <c r="Q28" s="1314"/>
      <c r="R28" s="1314"/>
      <c r="S28" s="1314"/>
      <c r="T28" s="1314"/>
      <c r="U28" s="1314"/>
      <c r="V28" s="1314"/>
      <c r="W28" s="1314"/>
      <c r="Y28" s="1034" t="s">
        <v>635</v>
      </c>
      <c r="Z28" s="1316" t="s">
        <v>637</v>
      </c>
      <c r="AA28" s="1316"/>
      <c r="AB28" s="1316"/>
      <c r="AC28" s="1316"/>
      <c r="AD28" s="1316"/>
    </row>
    <row r="29" spans="1:31">
      <c r="N29" s="1034" t="s">
        <v>638</v>
      </c>
      <c r="O29" s="1314" t="s">
        <v>639</v>
      </c>
      <c r="P29" s="1314"/>
      <c r="Q29" s="1314"/>
      <c r="R29" s="1314"/>
      <c r="S29" s="1314"/>
      <c r="T29" s="1314"/>
      <c r="U29" s="1314"/>
      <c r="V29" s="1314"/>
      <c r="W29" s="1314"/>
      <c r="Y29" s="1034" t="s">
        <v>640</v>
      </c>
      <c r="Z29" s="1316" t="s">
        <v>879</v>
      </c>
      <c r="AA29" s="1316"/>
      <c r="AB29" s="1316"/>
      <c r="AC29" s="1316"/>
      <c r="AD29" s="1316"/>
    </row>
    <row r="30" spans="1:31">
      <c r="N30" s="1034" t="s">
        <v>641</v>
      </c>
      <c r="O30" s="1314" t="s">
        <v>642</v>
      </c>
      <c r="P30" s="1314"/>
      <c r="Q30" s="1314"/>
      <c r="R30" s="1314"/>
      <c r="S30" s="1314"/>
      <c r="T30" s="1314"/>
      <c r="U30" s="1314"/>
      <c r="V30" s="1314"/>
      <c r="W30" s="1314"/>
      <c r="Y30" s="1034" t="s">
        <v>643</v>
      </c>
      <c r="Z30" s="1316" t="s">
        <v>880</v>
      </c>
      <c r="AA30" s="1316"/>
      <c r="AB30" s="1316"/>
      <c r="AC30" s="1316"/>
      <c r="AD30" s="1316"/>
    </row>
    <row r="31" spans="1:31">
      <c r="N31" s="1034" t="s">
        <v>726</v>
      </c>
      <c r="O31" s="1314" t="s">
        <v>727</v>
      </c>
      <c r="P31" s="1314"/>
      <c r="Q31" s="1314"/>
      <c r="R31" s="1314"/>
      <c r="S31" s="1314"/>
      <c r="T31" s="1314"/>
      <c r="U31" s="1314"/>
      <c r="V31" s="1314"/>
      <c r="W31" s="1314"/>
      <c r="Y31" s="1034" t="s">
        <v>638</v>
      </c>
      <c r="Z31" s="1316" t="s">
        <v>639</v>
      </c>
      <c r="AA31" s="1316"/>
      <c r="AB31" s="1316"/>
      <c r="AC31" s="1316"/>
      <c r="AD31" s="1316"/>
    </row>
    <row r="32" spans="1:31">
      <c r="N32" s="1034" t="s">
        <v>644</v>
      </c>
      <c r="O32" s="1314" t="s">
        <v>645</v>
      </c>
      <c r="P32" s="1314"/>
      <c r="Q32" s="1314"/>
      <c r="R32" s="1314"/>
      <c r="S32" s="1314"/>
      <c r="T32" s="1314"/>
      <c r="U32" s="1314"/>
      <c r="V32" s="1314"/>
      <c r="W32" s="1314"/>
      <c r="Y32" s="1034" t="s">
        <v>641</v>
      </c>
      <c r="Z32" s="1316" t="s">
        <v>642</v>
      </c>
      <c r="AA32" s="1316"/>
      <c r="AB32" s="1316"/>
      <c r="AC32" s="1316"/>
      <c r="AD32" s="1316"/>
    </row>
    <row r="33" spans="14:30">
      <c r="N33" s="1034" t="s">
        <v>646</v>
      </c>
      <c r="O33" s="1314" t="s">
        <v>647</v>
      </c>
      <c r="P33" s="1314"/>
      <c r="Q33" s="1314"/>
      <c r="R33" s="1314"/>
      <c r="S33" s="1314"/>
      <c r="T33" s="1314"/>
      <c r="U33" s="1314"/>
      <c r="V33" s="1314"/>
      <c r="W33" s="1314"/>
      <c r="Y33" s="1034" t="s">
        <v>648</v>
      </c>
      <c r="Z33" s="1316" t="s">
        <v>649</v>
      </c>
      <c r="AA33" s="1316"/>
      <c r="AB33" s="1316"/>
      <c r="AC33" s="1316"/>
      <c r="AD33" s="1316"/>
    </row>
    <row r="34" spans="14:30">
      <c r="N34" s="1034" t="s">
        <v>640</v>
      </c>
      <c r="O34" s="1314" t="s">
        <v>877</v>
      </c>
      <c r="P34" s="1314"/>
      <c r="Q34" s="1314"/>
      <c r="R34" s="1314"/>
      <c r="S34" s="1314"/>
      <c r="T34" s="1314"/>
      <c r="U34" s="1314"/>
      <c r="V34" s="1314"/>
      <c r="W34" s="1314"/>
      <c r="Y34" s="1034" t="s">
        <v>650</v>
      </c>
      <c r="Z34" s="1316" t="s">
        <v>651</v>
      </c>
      <c r="AA34" s="1316"/>
      <c r="AB34" s="1316"/>
      <c r="AC34" s="1316"/>
      <c r="AD34" s="1316"/>
    </row>
    <row r="35" spans="14:30">
      <c r="N35" s="1034" t="s">
        <v>643</v>
      </c>
      <c r="O35" s="1314" t="s">
        <v>878</v>
      </c>
      <c r="P35" s="1314"/>
      <c r="Q35" s="1314"/>
      <c r="R35" s="1314"/>
      <c r="S35" s="1314"/>
      <c r="T35" s="1314"/>
      <c r="U35" s="1314"/>
      <c r="V35" s="1314"/>
      <c r="W35" s="1314"/>
      <c r="Y35" s="1034" t="s">
        <v>653</v>
      </c>
      <c r="Z35" s="1316" t="s">
        <v>654</v>
      </c>
      <c r="AA35" s="1316"/>
      <c r="AB35" s="1316"/>
      <c r="AC35" s="1316"/>
      <c r="AD35" s="1316"/>
    </row>
    <row r="36" spans="14:30">
      <c r="N36" s="1034" t="s">
        <v>648</v>
      </c>
      <c r="O36" s="1314" t="s">
        <v>652</v>
      </c>
      <c r="P36" s="1314"/>
      <c r="Q36" s="1314"/>
      <c r="R36" s="1314"/>
      <c r="S36" s="1314"/>
      <c r="T36" s="1314"/>
      <c r="U36" s="1314"/>
      <c r="V36" s="1314"/>
      <c r="W36" s="1314"/>
      <c r="Y36" s="1034" t="s">
        <v>644</v>
      </c>
      <c r="Z36" s="1316" t="s">
        <v>645</v>
      </c>
      <c r="AA36" s="1316"/>
      <c r="AB36" s="1316"/>
      <c r="AC36" s="1316"/>
      <c r="AD36" s="1316"/>
    </row>
    <row r="37" spans="14:30">
      <c r="N37" s="1034" t="s">
        <v>655</v>
      </c>
      <c r="O37" s="1314" t="s">
        <v>656</v>
      </c>
      <c r="P37" s="1314"/>
      <c r="Q37" s="1314"/>
      <c r="R37" s="1314"/>
      <c r="S37" s="1314"/>
      <c r="T37" s="1314"/>
      <c r="U37" s="1314"/>
      <c r="V37" s="1314"/>
      <c r="W37" s="1314"/>
      <c r="Y37" s="1035" t="s">
        <v>646</v>
      </c>
      <c r="Z37" s="1317" t="s">
        <v>647</v>
      </c>
      <c r="AA37" s="1317"/>
      <c r="AB37" s="1317"/>
      <c r="AC37" s="1317"/>
      <c r="AD37" s="1317"/>
    </row>
    <row r="38" spans="14:30">
      <c r="N38" s="1034" t="s">
        <v>650</v>
      </c>
      <c r="O38" s="1314" t="s">
        <v>657</v>
      </c>
      <c r="P38" s="1314"/>
      <c r="Q38" s="1314"/>
      <c r="R38" s="1314"/>
      <c r="S38" s="1314"/>
      <c r="T38" s="1314"/>
      <c r="U38" s="1314"/>
      <c r="V38" s="1314"/>
      <c r="W38" s="1314"/>
    </row>
    <row r="39" spans="14:30">
      <c r="N39" s="1035" t="s">
        <v>653</v>
      </c>
      <c r="O39" s="1315" t="s">
        <v>658</v>
      </c>
      <c r="P39" s="1315"/>
      <c r="Q39" s="1315"/>
      <c r="R39" s="1315"/>
      <c r="S39" s="1315"/>
      <c r="T39" s="1315"/>
      <c r="U39" s="1315"/>
      <c r="V39" s="1315"/>
      <c r="W39" s="1315"/>
    </row>
  </sheetData>
  <sheetProtection algorithmName="SHA-512" hashValue="U8x2pLsKXs16NFzqp4t3XckZIYHDVsECg37x5rIIdh+1YQxTIVDAY16m9AYuRdv/i7zzx3ahfbcj0BQlPUGMhQ==" saltValue="LHFg/zgZ1RYqzWujtBAcD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NSVR5NyRbV3SNRPdIUrop8ZfodpGpsg8K8/UmPVwldESlSF9nld75M8U4+WVTGUnYVzsPpykF8ZWq7bjWnD0/Q==" saltValue="+P5xpSTP9gzzarA013FO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747</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473" t="s">
        <v>746</v>
      </c>
      <c r="ER8" s="473">
        <v>148</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v>3887</v>
      </c>
      <c r="J9" s="184">
        <v>6852</v>
      </c>
      <c r="K9" s="184">
        <v>6764</v>
      </c>
      <c r="L9" s="184">
        <v>3982</v>
      </c>
      <c r="M9" s="184">
        <v>2138</v>
      </c>
      <c r="N9" s="184">
        <v>2681</v>
      </c>
      <c r="O9" s="184">
        <v>3470</v>
      </c>
      <c r="P9" s="184">
        <v>1723</v>
      </c>
      <c r="Q9" s="184">
        <v>1911</v>
      </c>
      <c r="R9" s="184">
        <v>4846</v>
      </c>
      <c r="S9" s="184">
        <v>3578</v>
      </c>
      <c r="T9" s="184">
        <v>7009</v>
      </c>
      <c r="U9" s="184">
        <v>6671</v>
      </c>
      <c r="V9" s="184">
        <v>3887</v>
      </c>
      <c r="W9" s="184">
        <v>2188</v>
      </c>
      <c r="X9" s="191">
        <v>2880</v>
      </c>
      <c r="Y9" s="194">
        <v>242</v>
      </c>
      <c r="Z9" s="184">
        <v>526</v>
      </c>
      <c r="AA9" s="184">
        <v>665</v>
      </c>
      <c r="AB9" s="184">
        <v>100</v>
      </c>
      <c r="AC9" s="184">
        <v>0</v>
      </c>
      <c r="AD9" s="184">
        <v>0</v>
      </c>
      <c r="AE9" s="184">
        <v>0</v>
      </c>
      <c r="AF9" s="191">
        <v>0</v>
      </c>
      <c r="AG9" s="194">
        <v>159</v>
      </c>
      <c r="AH9" s="184">
        <v>1261</v>
      </c>
      <c r="AI9" s="184">
        <v>1182</v>
      </c>
      <c r="AJ9" s="195">
        <v>242</v>
      </c>
      <c r="AK9" s="183">
        <v>0</v>
      </c>
      <c r="AL9" s="184">
        <v>0</v>
      </c>
      <c r="AM9" s="184">
        <v>0</v>
      </c>
      <c r="AN9" s="191">
        <v>0</v>
      </c>
      <c r="AO9" s="261">
        <v>5</v>
      </c>
      <c r="AP9" s="157">
        <v>5</v>
      </c>
      <c r="AQ9" s="157">
        <v>5</v>
      </c>
      <c r="AR9" s="196">
        <v>5</v>
      </c>
      <c r="AS9" s="341" t="s">
        <v>795</v>
      </c>
      <c r="AT9" s="198"/>
      <c r="AU9" s="197"/>
      <c r="AV9" s="198"/>
      <c r="AW9" s="197"/>
      <c r="AX9" s="198"/>
      <c r="AY9" s="123">
        <f>IF(ISNUMBER(IF(J_V="SI",S9,S9+AG9)),IF(J_V="SI",S9,S9+AG9)," - ")</f>
        <v>3737</v>
      </c>
      <c r="AZ9" s="123">
        <f>IF(ISNUMBER(IF(J_V="SI",T9,T9+AH9)),IF(J_V="SI",T9,T9+AH9)," - ")</f>
        <v>8270</v>
      </c>
      <c r="BA9" s="124">
        <f>IF(ISNUMBER(IF(J_V="SI",U9,U9+AI9)),IF(J_V="SI",U9,U9+AI9)," - ")</f>
        <v>7853</v>
      </c>
      <c r="BB9" s="124">
        <f>IF(ISNUMBER(IF(J_V="SI",V9,V9+AJ9)),IF(J_V="SI",V9,V9+AJ9)," - ")</f>
        <v>4129</v>
      </c>
      <c r="BC9" s="125">
        <f>IF(ISNUMBER(X9),X9," - ")</f>
        <v>2880</v>
      </c>
      <c r="BD9" s="126">
        <f>IF(ISNUMBER(BA9/AZ9),BA9/AZ9," - ")</f>
        <v>0.94957678355501818</v>
      </c>
      <c r="BE9" s="127">
        <f>IF(ISNUMBER(BB9/BA9),BB9/BA9, " - ")</f>
        <v>0.52578632369794986</v>
      </c>
      <c r="BF9" s="127">
        <f>IF(ISNUMBER(BC9/BA9),BC9/BA9, " - ")</f>
        <v>0.36673882592639756</v>
      </c>
      <c r="BG9" s="199">
        <f>IF(ISNUMBER((AY9+AZ9)/BA9),(AY9+AZ9)/BA9," - ")</f>
        <v>1.5289698204507831</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866</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96</v>
      </c>
      <c r="J10" s="184">
        <v>59</v>
      </c>
      <c r="K10" s="184">
        <v>82</v>
      </c>
      <c r="L10" s="184">
        <v>73</v>
      </c>
      <c r="M10" s="184">
        <v>52</v>
      </c>
      <c r="N10" s="184">
        <v>7</v>
      </c>
      <c r="O10" s="184">
        <v>1</v>
      </c>
      <c r="P10" s="184">
        <v>7</v>
      </c>
      <c r="Q10" s="184">
        <v>0</v>
      </c>
      <c r="R10" s="184">
        <v>53</v>
      </c>
      <c r="S10" s="184">
        <v>83</v>
      </c>
      <c r="T10" s="184">
        <v>77</v>
      </c>
      <c r="U10" s="184">
        <v>64</v>
      </c>
      <c r="V10" s="184">
        <v>96</v>
      </c>
      <c r="W10" s="184">
        <v>33</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789</v>
      </c>
      <c r="AT10" s="195"/>
      <c r="AU10" s="203"/>
      <c r="AV10" s="195"/>
      <c r="AW10" s="203"/>
      <c r="AX10" s="195"/>
      <c r="AY10" s="128">
        <f t="shared" ref="AY10:BC10" si="0">IF(ISNUMBER(S10),S10," - ")</f>
        <v>83</v>
      </c>
      <c r="AZ10" s="129">
        <f t="shared" si="0"/>
        <v>77</v>
      </c>
      <c r="BA10" s="129">
        <f t="shared" si="0"/>
        <v>64</v>
      </c>
      <c r="BB10" s="129">
        <f t="shared" si="0"/>
        <v>96</v>
      </c>
      <c r="BC10" s="125">
        <f t="shared" si="0"/>
        <v>33</v>
      </c>
      <c r="BD10" s="126">
        <f>IF(ISNUMBER(BA10/AZ10),BA10/AZ10," - ")</f>
        <v>0.83116883116883122</v>
      </c>
      <c r="BE10" s="127">
        <f>IF(ISNUMBER(BB10/BA10),BB10/BA10, " - ")</f>
        <v>1.5</v>
      </c>
      <c r="BF10" s="127">
        <f>IF(ISNUMBER(BC10/BA10),BC10/BA10, " - ")</f>
        <v>0.515625</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763</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0</v>
      </c>
      <c r="J11" s="186">
        <v>740</v>
      </c>
      <c r="K11" s="186">
        <v>444</v>
      </c>
      <c r="L11" s="186">
        <v>285</v>
      </c>
      <c r="M11" s="186">
        <v>158</v>
      </c>
      <c r="N11" s="186">
        <v>581</v>
      </c>
      <c r="O11" s="184">
        <v>123</v>
      </c>
      <c r="P11" s="186">
        <v>19</v>
      </c>
      <c r="Q11" s="186">
        <v>1</v>
      </c>
      <c r="R11" s="186">
        <v>17</v>
      </c>
      <c r="S11" s="186">
        <v>0</v>
      </c>
      <c r="T11" s="186">
        <v>0</v>
      </c>
      <c r="U11" s="186">
        <v>0</v>
      </c>
      <c r="V11" s="186">
        <v>0</v>
      </c>
      <c r="W11" s="186">
        <v>0</v>
      </c>
      <c r="X11" s="192">
        <v>0</v>
      </c>
      <c r="Y11" s="194">
        <v>0</v>
      </c>
      <c r="Z11" s="184">
        <v>603</v>
      </c>
      <c r="AA11" s="184">
        <v>547</v>
      </c>
      <c r="AB11" s="184">
        <v>56</v>
      </c>
      <c r="AC11" s="186">
        <v>0</v>
      </c>
      <c r="AD11" s="186">
        <v>0</v>
      </c>
      <c r="AE11" s="186">
        <v>0</v>
      </c>
      <c r="AF11" s="192">
        <v>0</v>
      </c>
      <c r="AG11" s="205">
        <v>0</v>
      </c>
      <c r="AH11" s="186">
        <v>0</v>
      </c>
      <c r="AI11" s="186">
        <v>0</v>
      </c>
      <c r="AJ11" s="206">
        <v>0</v>
      </c>
      <c r="AK11" s="185">
        <v>0</v>
      </c>
      <c r="AL11" s="186">
        <v>0</v>
      </c>
      <c r="AM11" s="186">
        <v>0</v>
      </c>
      <c r="AN11" s="192">
        <v>0</v>
      </c>
      <c r="AO11" s="262">
        <v>1</v>
      </c>
      <c r="AP11" s="158">
        <v>1</v>
      </c>
      <c r="AQ11" s="158">
        <v>1</v>
      </c>
      <c r="AR11" s="157">
        <v>1</v>
      </c>
      <c r="AS11" s="343" t="s">
        <v>796</v>
      </c>
      <c r="AT11" s="206"/>
      <c r="AU11" s="205"/>
      <c r="AV11" s="206"/>
      <c r="AW11" s="205"/>
      <c r="AX11" s="206"/>
      <c r="AY11" s="126">
        <f t="shared" ref="AY11:BB12" si="1">IF(ISNUMBER(IF(J_V="SI",S11,S11+AG11)),IF(J_V="SI",S11,S11+AG11)," - ")</f>
        <v>0</v>
      </c>
      <c r="AZ11" s="127">
        <f t="shared" si="1"/>
        <v>0</v>
      </c>
      <c r="BA11" s="127">
        <f t="shared" si="1"/>
        <v>0</v>
      </c>
      <c r="BB11" s="127">
        <f t="shared" si="1"/>
        <v>0</v>
      </c>
      <c r="BC11" s="125">
        <f>IF(ISNUMBER(X11),X11," - ")</f>
        <v>0</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867</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13</v>
      </c>
      <c r="J12" s="186">
        <v>0</v>
      </c>
      <c r="K12" s="186">
        <v>1</v>
      </c>
      <c r="L12" s="186">
        <v>2</v>
      </c>
      <c r="M12" s="186">
        <v>0</v>
      </c>
      <c r="N12" s="186">
        <v>16</v>
      </c>
      <c r="O12" s="184">
        <v>10</v>
      </c>
      <c r="P12" s="186">
        <v>4</v>
      </c>
      <c r="Q12" s="186">
        <v>21</v>
      </c>
      <c r="R12" s="186">
        <v>387</v>
      </c>
      <c r="S12" s="186">
        <v>10</v>
      </c>
      <c r="T12" s="186">
        <v>10</v>
      </c>
      <c r="U12" s="186">
        <v>7</v>
      </c>
      <c r="V12" s="186">
        <v>13</v>
      </c>
      <c r="W12" s="186">
        <v>0</v>
      </c>
      <c r="X12" s="192">
        <v>12</v>
      </c>
      <c r="Y12" s="194">
        <v>1</v>
      </c>
      <c r="Z12" s="184">
        <v>1</v>
      </c>
      <c r="AA12" s="184">
        <v>2</v>
      </c>
      <c r="AB12" s="184">
        <v>0</v>
      </c>
      <c r="AC12" s="186">
        <v>0</v>
      </c>
      <c r="AD12" s="186">
        <v>0</v>
      </c>
      <c r="AE12" s="186">
        <v>0</v>
      </c>
      <c r="AF12" s="192">
        <v>0</v>
      </c>
      <c r="AG12" s="205">
        <v>6</v>
      </c>
      <c r="AH12" s="186">
        <v>2</v>
      </c>
      <c r="AI12" s="186">
        <v>7</v>
      </c>
      <c r="AJ12" s="206">
        <v>1</v>
      </c>
      <c r="AK12" s="185">
        <v>0</v>
      </c>
      <c r="AL12" s="186">
        <v>0</v>
      </c>
      <c r="AM12" s="186">
        <v>0</v>
      </c>
      <c r="AN12" s="192">
        <v>0</v>
      </c>
      <c r="AO12" s="262">
        <v>0</v>
      </c>
      <c r="AP12" s="158">
        <v>0</v>
      </c>
      <c r="AQ12" s="158">
        <v>0</v>
      </c>
      <c r="AR12" s="157">
        <v>0</v>
      </c>
      <c r="AS12" s="343" t="s">
        <v>797</v>
      </c>
      <c r="AT12" s="206"/>
      <c r="AU12" s="205"/>
      <c r="AV12" s="206"/>
      <c r="AW12" s="205"/>
      <c r="AX12" s="206"/>
      <c r="AY12" s="126">
        <f t="shared" si="1"/>
        <v>16</v>
      </c>
      <c r="AZ12" s="127">
        <f t="shared" si="1"/>
        <v>12</v>
      </c>
      <c r="BA12" s="127">
        <f t="shared" si="1"/>
        <v>14</v>
      </c>
      <c r="BB12" s="127">
        <f t="shared" si="1"/>
        <v>14</v>
      </c>
      <c r="BC12" s="125">
        <f>IF(ISNUMBER(X12),X12," - ")</f>
        <v>12</v>
      </c>
      <c r="BD12" s="126">
        <f t="shared" si="2"/>
        <v>1.1666666666666667</v>
      </c>
      <c r="BE12" s="127">
        <f t="shared" si="3"/>
        <v>1</v>
      </c>
      <c r="BF12" s="127">
        <f t="shared" si="4"/>
        <v>0.8571428571428571</v>
      </c>
      <c r="BG12" s="199">
        <f t="shared" si="5"/>
        <v>2</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868</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3996</v>
      </c>
      <c r="J13" s="187">
        <f t="shared" si="6"/>
        <v>7651</v>
      </c>
      <c r="K13" s="187">
        <f t="shared" si="6"/>
        <v>7291</v>
      </c>
      <c r="L13" s="187">
        <f t="shared" si="6"/>
        <v>4342</v>
      </c>
      <c r="M13" s="187">
        <f t="shared" si="6"/>
        <v>2348</v>
      </c>
      <c r="N13" s="187">
        <f t="shared" si="6"/>
        <v>3285</v>
      </c>
      <c r="O13" s="187">
        <f t="shared" si="6"/>
        <v>3604</v>
      </c>
      <c r="P13" s="187">
        <f t="shared" si="6"/>
        <v>1753</v>
      </c>
      <c r="Q13" s="187">
        <f t="shared" si="6"/>
        <v>1933</v>
      </c>
      <c r="R13" s="187">
        <f t="shared" si="6"/>
        <v>5303</v>
      </c>
      <c r="S13" s="187">
        <f t="shared" si="6"/>
        <v>3671</v>
      </c>
      <c r="T13" s="187">
        <f t="shared" si="6"/>
        <v>7096</v>
      </c>
      <c r="U13" s="187">
        <f t="shared" si="6"/>
        <v>6742</v>
      </c>
      <c r="V13" s="187">
        <f t="shared" si="6"/>
        <v>3996</v>
      </c>
      <c r="W13" s="187">
        <f t="shared" si="6"/>
        <v>2221</v>
      </c>
      <c r="X13" s="187">
        <f t="shared" si="6"/>
        <v>2909</v>
      </c>
      <c r="Y13" s="187">
        <f t="shared" si="6"/>
        <v>243</v>
      </c>
      <c r="Z13" s="187">
        <f t="shared" si="6"/>
        <v>1130</v>
      </c>
      <c r="AA13" s="187">
        <f t="shared" si="6"/>
        <v>1214</v>
      </c>
      <c r="AB13" s="187">
        <f t="shared" si="6"/>
        <v>156</v>
      </c>
      <c r="AC13" s="187">
        <f t="shared" si="6"/>
        <v>0</v>
      </c>
      <c r="AD13" s="187">
        <f t="shared" si="6"/>
        <v>0</v>
      </c>
      <c r="AE13" s="187">
        <f t="shared" si="6"/>
        <v>0</v>
      </c>
      <c r="AF13" s="187">
        <f>SUBTOTAL(9,AF9:AF12)</f>
        <v>0</v>
      </c>
      <c r="AG13" s="187">
        <f t="shared" ref="AG13:AT13" si="7">SUBTOTAL(9,AG8:AG12)</f>
        <v>165</v>
      </c>
      <c r="AH13" s="187">
        <f t="shared" si="7"/>
        <v>1263</v>
      </c>
      <c r="AI13" s="187">
        <f t="shared" si="7"/>
        <v>1189</v>
      </c>
      <c r="AJ13" s="187">
        <f t="shared" si="7"/>
        <v>243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3836</v>
      </c>
      <c r="AZ13" s="187">
        <f>SUBTOTAL(9,AZ8:AZ12)</f>
        <v>8359</v>
      </c>
      <c r="BA13" s="187">
        <f>SUBTOTAL(9,BA8:BA12)</f>
        <v>7931</v>
      </c>
      <c r="BB13" s="187">
        <f>SUBTOTAL(9,BB8:BB12)</f>
        <v>4239</v>
      </c>
      <c r="BC13" s="187">
        <f>SUBTOTAL(9,BC8:BC12)</f>
        <v>2925</v>
      </c>
      <c r="BD13" s="208">
        <f>IF(ISNUMBER(BA13/AZ13),BA13/AZ13," - ")</f>
        <v>0.94879770307453049</v>
      </c>
      <c r="BE13" s="209">
        <f>IF(ISNUMBER(BB13/BA13),BB13/BA13, " - ")</f>
        <v>0.53448493254318497</v>
      </c>
      <c r="BF13" s="209">
        <f>IF(ISNUMBER(BC13/BA13),BC13/BA13, " - ")</f>
        <v>0.36880595133022315</v>
      </c>
      <c r="BG13" s="210">
        <f>IF(ISNUMBER((AY13+AZ13)/BA13),(AY13+AZ13)/BA13," - ")</f>
        <v>1.5376371201613921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1841</v>
      </c>
      <c r="J15" s="186">
        <v>5883</v>
      </c>
      <c r="K15" s="186">
        <v>5203</v>
      </c>
      <c r="L15" s="186">
        <v>2174</v>
      </c>
      <c r="M15" s="186">
        <v>768</v>
      </c>
      <c r="N15" s="186">
        <v>2652</v>
      </c>
      <c r="O15" s="184">
        <v>38</v>
      </c>
      <c r="P15" s="186">
        <v>174</v>
      </c>
      <c r="Q15" s="186">
        <v>230</v>
      </c>
      <c r="R15" s="186">
        <v>230</v>
      </c>
      <c r="S15" s="186">
        <v>1697</v>
      </c>
      <c r="T15" s="186">
        <v>4998</v>
      </c>
      <c r="U15" s="186">
        <v>4661</v>
      </c>
      <c r="V15" s="186">
        <v>1841</v>
      </c>
      <c r="W15" s="186">
        <v>763</v>
      </c>
      <c r="X15" s="192">
        <v>2530</v>
      </c>
      <c r="Y15" s="205">
        <v>0</v>
      </c>
      <c r="Z15" s="186">
        <v>0</v>
      </c>
      <c r="AA15" s="186">
        <v>0</v>
      </c>
      <c r="AB15" s="186">
        <v>0</v>
      </c>
      <c r="AC15" s="186">
        <v>0</v>
      </c>
      <c r="AD15" s="186">
        <v>6</v>
      </c>
      <c r="AE15" s="186">
        <v>6</v>
      </c>
      <c r="AF15" s="192">
        <v>0</v>
      </c>
      <c r="AG15" s="205">
        <v>0</v>
      </c>
      <c r="AH15" s="186">
        <v>0</v>
      </c>
      <c r="AI15" s="186">
        <v>0</v>
      </c>
      <c r="AJ15" s="206">
        <v>0</v>
      </c>
      <c r="AK15" s="185">
        <v>0</v>
      </c>
      <c r="AL15" s="186">
        <v>16</v>
      </c>
      <c r="AM15" s="186">
        <v>16</v>
      </c>
      <c r="AN15" s="192">
        <v>0</v>
      </c>
      <c r="AO15" s="262">
        <v>3</v>
      </c>
      <c r="AP15" s="158">
        <v>3</v>
      </c>
      <c r="AQ15" s="158">
        <v>3</v>
      </c>
      <c r="AR15" s="158">
        <v>3</v>
      </c>
      <c r="AS15" s="343" t="s">
        <v>522</v>
      </c>
      <c r="AT15" s="206" t="s">
        <v>322</v>
      </c>
      <c r="AU15" s="205"/>
      <c r="AV15" s="206"/>
      <c r="AW15" s="205"/>
      <c r="AX15" s="206"/>
      <c r="AY15" s="128">
        <f t="shared" ref="AY15:BB16" si="9">IF(ISNUMBER(IF(D_I="SI",S15,S15+AK15)),IF(D_I="SI",S15,S15+AK15)," - ")</f>
        <v>1697</v>
      </c>
      <c r="AZ15" s="129">
        <f t="shared" si="9"/>
        <v>4998</v>
      </c>
      <c r="BA15" s="129">
        <f t="shared" si="9"/>
        <v>4661</v>
      </c>
      <c r="BB15" s="129">
        <f t="shared" si="9"/>
        <v>1841</v>
      </c>
      <c r="BC15" s="125">
        <f>IF(ISNUMBER(W15),W15," - ")</f>
        <v>763</v>
      </c>
      <c r="BD15" s="126">
        <f>IF(ISNUMBER(BA15/AZ15),BA15/AZ15," - ")</f>
        <v>0.93257302921168472</v>
      </c>
      <c r="BE15" s="127">
        <f>IF(ISNUMBER(BB15/BA15),BB15/BA15, " - ")</f>
        <v>0.39497961810770221</v>
      </c>
      <c r="BF15" s="127">
        <f>IF(ISNUMBER(BC15/BA15),BC15/BA15, " - ")</f>
        <v>0.16369877708646213</v>
      </c>
      <c r="BG15" s="199">
        <f t="shared" ref="BG15:BG16" si="10">IF(ISNUMBER((AY15+AZ15)/BA15),(AY15+AZ15)/BA15," - ")</f>
        <v>1.4363870414074233</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798</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t="s">
        <v>484</v>
      </c>
      <c r="J16" s="186" t="s">
        <v>480</v>
      </c>
      <c r="K16" s="186" t="s">
        <v>481</v>
      </c>
      <c r="L16" s="186" t="s">
        <v>482</v>
      </c>
      <c r="M16" s="186" t="s">
        <v>487</v>
      </c>
      <c r="N16" s="186" t="s">
        <v>146</v>
      </c>
      <c r="O16" s="184" t="s">
        <v>221</v>
      </c>
      <c r="P16" s="186" t="s">
        <v>466</v>
      </c>
      <c r="Q16" s="186" t="s">
        <v>467</v>
      </c>
      <c r="R16" s="186" t="s">
        <v>468</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483</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769</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194</v>
      </c>
      <c r="J17" s="186">
        <v>484</v>
      </c>
      <c r="K17" s="186">
        <v>495</v>
      </c>
      <c r="L17" s="186">
        <v>183</v>
      </c>
      <c r="M17" s="186">
        <v>9</v>
      </c>
      <c r="N17" s="186">
        <v>325</v>
      </c>
      <c r="O17" s="186">
        <v>0</v>
      </c>
      <c r="P17" s="186">
        <v>0</v>
      </c>
      <c r="Q17" s="186">
        <v>0</v>
      </c>
      <c r="R17" s="186">
        <v>0</v>
      </c>
      <c r="S17" s="186">
        <v>182</v>
      </c>
      <c r="T17" s="186">
        <v>464</v>
      </c>
      <c r="U17" s="186">
        <v>452</v>
      </c>
      <c r="V17" s="186">
        <v>194</v>
      </c>
      <c r="W17" s="186">
        <v>26</v>
      </c>
      <c r="X17" s="192">
        <v>306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788</v>
      </c>
      <c r="AT17" s="212"/>
      <c r="AU17" s="203"/>
      <c r="AV17" s="212"/>
      <c r="AW17" s="203"/>
      <c r="AX17" s="212"/>
      <c r="AY17" s="128">
        <f t="shared" ref="AY17:BB17" si="14">IF(ISNUMBER(S17),S17," - ")</f>
        <v>182</v>
      </c>
      <c r="AZ17" s="129">
        <f t="shared" si="14"/>
        <v>464</v>
      </c>
      <c r="BA17" s="129">
        <f t="shared" si="14"/>
        <v>452</v>
      </c>
      <c r="BB17" s="129">
        <f t="shared" si="14"/>
        <v>194</v>
      </c>
      <c r="BC17" s="125">
        <f>IF(ISNUMBER(W17),W17," - ")</f>
        <v>26</v>
      </c>
      <c r="BD17" s="126">
        <f>IF(ISNUMBER(BA17/AZ17),BA17/AZ17," - ")</f>
        <v>0.97413793103448276</v>
      </c>
      <c r="BE17" s="127">
        <f>IF(ISNUMBER(BB17/BA17),BB17/BA17, " - ")</f>
        <v>0.42920353982300885</v>
      </c>
      <c r="BF17" s="127">
        <f>IF(ISNUMBER(BC17/BA17),BC17/BA17, " - ")</f>
        <v>5.7522123893805309E-2</v>
      </c>
      <c r="BG17" s="199">
        <f>IF(ISNUMBER((AY17+AZ17)/BA17),(AY17+AZ17)/BA17," - ")</f>
        <v>1.4292035398230087</v>
      </c>
      <c r="BH17" s="158">
        <v>1</v>
      </c>
      <c r="BI17" s="158"/>
      <c r="BJ17" s="203"/>
      <c r="BK17" s="157"/>
      <c r="BL17" s="157"/>
      <c r="BM17" s="157">
        <v>1800</v>
      </c>
      <c r="BN17" s="157"/>
      <c r="BO17" s="157"/>
      <c r="BP17" s="157"/>
      <c r="BQ17" s="157"/>
      <c r="BR17" s="157"/>
      <c r="BS17" s="157"/>
      <c r="BT17" s="157"/>
      <c r="BU17" s="157"/>
      <c r="BV17" s="157"/>
      <c r="BW17" s="157"/>
      <c r="BX17" s="157"/>
      <c r="BY17" s="177" t="s">
        <v>724</v>
      </c>
      <c r="BZ17" s="177" t="s">
        <v>725</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770</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2035</v>
      </c>
      <c r="J18" s="187">
        <f t="shared" si="15"/>
        <v>6367</v>
      </c>
      <c r="K18" s="187">
        <f t="shared" si="15"/>
        <v>5698</v>
      </c>
      <c r="L18" s="187">
        <f t="shared" si="15"/>
        <v>2357</v>
      </c>
      <c r="M18" s="187">
        <f t="shared" si="15"/>
        <v>777</v>
      </c>
      <c r="N18" s="187">
        <f t="shared" si="15"/>
        <v>2977</v>
      </c>
      <c r="O18" s="187">
        <f t="shared" si="15"/>
        <v>38</v>
      </c>
      <c r="P18" s="187">
        <f t="shared" si="15"/>
        <v>174</v>
      </c>
      <c r="Q18" s="187">
        <f t="shared" si="15"/>
        <v>230</v>
      </c>
      <c r="R18" s="187">
        <f t="shared" si="15"/>
        <v>230</v>
      </c>
      <c r="S18" s="187">
        <f t="shared" si="15"/>
        <v>1879</v>
      </c>
      <c r="T18" s="187">
        <f t="shared" si="15"/>
        <v>5462</v>
      </c>
      <c r="U18" s="187">
        <f t="shared" si="15"/>
        <v>5113</v>
      </c>
      <c r="V18" s="187">
        <f t="shared" si="15"/>
        <v>2035</v>
      </c>
      <c r="W18" s="187">
        <f t="shared" si="15"/>
        <v>789</v>
      </c>
      <c r="X18" s="187">
        <f t="shared" si="15"/>
        <v>2836</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16</v>
      </c>
      <c r="AM18" s="187">
        <f t="shared" si="15"/>
        <v>16</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1879</v>
      </c>
      <c r="AZ18" s="187">
        <f>SUBTOTAL(9,AZ14:AZ17)</f>
        <v>5462</v>
      </c>
      <c r="BA18" s="187">
        <f>SUBTOTAL(9,BA14:BA17)</f>
        <v>5113</v>
      </c>
      <c r="BB18" s="187">
        <f>SUBTOTAL(9,BB14:BB17)</f>
        <v>2035</v>
      </c>
      <c r="BC18" s="187">
        <f>SUBTOTAL(9,BC14:BC17)</f>
        <v>789</v>
      </c>
      <c r="BD18" s="208">
        <f>IF(ISNUMBER(BA18/AZ18),BA18/AZ18," - ")</f>
        <v>0.93610399121201027</v>
      </c>
      <c r="BE18" s="209">
        <f>IF(ISNUMBER(BB18/BA18),BB18/BA18, " - ")</f>
        <v>0.39800508507725407</v>
      </c>
      <c r="BF18" s="209">
        <f>IF(ISNUMBER(BC18/BA18),BC18/BA18, " - ")</f>
        <v>0.15431253667123021</v>
      </c>
      <c r="BG18" s="210">
        <f>IF(ISNUMBER((AY18+AZ18)/BA18),(AY18+AZ18)/BA18," - ")</f>
        <v>1.4357520046939174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6031</v>
      </c>
      <c r="J19" s="134">
        <f t="shared" si="18"/>
        <v>14018</v>
      </c>
      <c r="K19" s="134">
        <f t="shared" si="18"/>
        <v>12989</v>
      </c>
      <c r="L19" s="134">
        <f t="shared" si="18"/>
        <v>6699</v>
      </c>
      <c r="M19" s="134">
        <f t="shared" si="18"/>
        <v>3125</v>
      </c>
      <c r="N19" s="134">
        <f t="shared" si="18"/>
        <v>6262</v>
      </c>
      <c r="O19" s="134">
        <f t="shared" si="18"/>
        <v>3642</v>
      </c>
      <c r="P19" s="134">
        <f t="shared" si="18"/>
        <v>1927</v>
      </c>
      <c r="Q19" s="134">
        <f t="shared" si="18"/>
        <v>2163</v>
      </c>
      <c r="R19" s="134">
        <f t="shared" si="18"/>
        <v>5533</v>
      </c>
      <c r="S19" s="134">
        <f t="shared" si="18"/>
        <v>5550</v>
      </c>
      <c r="T19" s="134">
        <f t="shared" si="18"/>
        <v>12558</v>
      </c>
      <c r="U19" s="134">
        <f t="shared" si="18"/>
        <v>11855</v>
      </c>
      <c r="V19" s="134">
        <f t="shared" si="18"/>
        <v>6031</v>
      </c>
      <c r="W19" s="134">
        <f t="shared" si="18"/>
        <v>3010</v>
      </c>
      <c r="X19" s="134">
        <f t="shared" si="18"/>
        <v>5745</v>
      </c>
      <c r="Y19" s="134">
        <f t="shared" si="18"/>
        <v>243</v>
      </c>
      <c r="Z19" s="134">
        <f t="shared" si="18"/>
        <v>1130</v>
      </c>
      <c r="AA19" s="134">
        <f t="shared" si="18"/>
        <v>1214</v>
      </c>
      <c r="AB19" s="134">
        <f t="shared" si="18"/>
        <v>156</v>
      </c>
      <c r="AC19" s="134">
        <f t="shared" si="18"/>
        <v>0</v>
      </c>
      <c r="AD19" s="134">
        <f t="shared" si="18"/>
        <v>6</v>
      </c>
      <c r="AE19" s="134">
        <f t="shared" si="18"/>
        <v>6</v>
      </c>
      <c r="AF19" s="134">
        <f t="shared" si="18"/>
        <v>0</v>
      </c>
      <c r="AG19" s="134">
        <f t="shared" si="18"/>
        <v>165</v>
      </c>
      <c r="AH19" s="134">
        <f t="shared" si="18"/>
        <v>1263</v>
      </c>
      <c r="AI19" s="134">
        <f t="shared" si="18"/>
        <v>1189</v>
      </c>
      <c r="AJ19" s="134">
        <f t="shared" si="18"/>
        <v>243</v>
      </c>
      <c r="AK19" s="134">
        <f t="shared" si="18"/>
        <v>0</v>
      </c>
      <c r="AL19" s="134">
        <f t="shared" si="18"/>
        <v>16</v>
      </c>
      <c r="AM19" s="134">
        <f t="shared" si="18"/>
        <v>16</v>
      </c>
      <c r="AN19" s="213">
        <f t="shared" si="18"/>
        <v>0</v>
      </c>
      <c r="AO19" s="214">
        <v>10</v>
      </c>
      <c r="AP19" s="214">
        <v>9</v>
      </c>
      <c r="AQ19" s="214">
        <v>9</v>
      </c>
      <c r="AR19" s="214">
        <v>9</v>
      </c>
      <c r="AS19" s="156">
        <f t="shared" si="18"/>
        <v>0</v>
      </c>
      <c r="AT19" s="156">
        <f t="shared" si="18"/>
        <v>0</v>
      </c>
      <c r="AU19" s="214"/>
      <c r="AV19" s="215"/>
      <c r="AW19" s="214"/>
      <c r="AX19" s="215"/>
      <c r="AY19" s="133">
        <f>SUBTOTAL(9,AY9:AY18)</f>
        <v>5715</v>
      </c>
      <c r="AZ19" s="134">
        <f>SUBTOTAL(9,AZ9:AZ18)</f>
        <v>13821</v>
      </c>
      <c r="BA19" s="134">
        <f>SUBTOTAL(9,BA9:BA18)</f>
        <v>13044</v>
      </c>
      <c r="BB19" s="134">
        <f>SUBTOTAL(9,BB9:BB18)</f>
        <v>6274</v>
      </c>
      <c r="BC19" s="135">
        <f>SUBTOTAL(9,BC9:BC18)</f>
        <v>3714</v>
      </c>
      <c r="BD19" s="216">
        <f>IF(ISNUMBER(BA19/AZ19),BA19/AZ19," - ")</f>
        <v>0.94378120251790754</v>
      </c>
      <c r="BE19" s="213">
        <f>IF(ISNUMBER(BB19/BA19),BB19/BA19, " - ")</f>
        <v>0.48098742716957987</v>
      </c>
      <c r="BF19" s="213">
        <f>IF(ISNUMBER(BC19/BA19),BC19/BA19, " - ")</f>
        <v>0.28472861085556578</v>
      </c>
      <c r="BG19" s="135">
        <f>IF(ISNUMBER((AY19+AZ19)/BA19),(AY19+AZ19)/BA19," - ")</f>
        <v>1.4977000919963201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xFGGey7Fk4aMXllO5xzQcw88FYscM8WteLow8KzIVukgd0xds6Ij2mI8RuxqZFxfEudqWNVS2VdBBU2HF9w6A==" saltValue="lyPb/92kXYXR9cUf4a7D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475</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615</v>
      </c>
      <c r="ED5" s="1382" t="s">
        <v>585</v>
      </c>
      <c r="EE5" s="1382" t="s">
        <v>618</v>
      </c>
      <c r="EF5" s="1382" t="s">
        <v>619</v>
      </c>
      <c r="EG5" s="1351" t="s">
        <v>620</v>
      </c>
      <c r="EH5" s="1351" t="s">
        <v>621</v>
      </c>
      <c r="EI5" s="1351" t="s">
        <v>587</v>
      </c>
      <c r="EJ5" s="1351" t="s">
        <v>588</v>
      </c>
      <c r="EK5" s="1477" t="s">
        <v>665</v>
      </c>
      <c r="EL5" s="1369" t="s">
        <v>681</v>
      </c>
      <c r="EM5" s="1370"/>
      <c r="EN5" s="1371"/>
      <c r="EO5" s="1363" t="s">
        <v>739</v>
      </c>
      <c r="EP5" s="1363" t="s">
        <v>741</v>
      </c>
      <c r="EQ5" s="1363" t="s">
        <v>742</v>
      </c>
      <c r="ER5" s="1363" t="s">
        <v>747</v>
      </c>
      <c r="ES5" s="1363" t="s">
        <v>752</v>
      </c>
      <c r="ET5" s="1360" t="s">
        <v>813</v>
      </c>
      <c r="EU5" s="1360" t="s">
        <v>814</v>
      </c>
      <c r="EV5" s="1388" t="s">
        <v>830</v>
      </c>
      <c r="EW5" s="1351" t="s">
        <v>833</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738</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682</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3"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473" t="s">
        <v>683</v>
      </c>
      <c r="EM8" s="473" t="s">
        <v>684</v>
      </c>
      <c r="EN8" s="473" t="s">
        <v>685</v>
      </c>
      <c r="EO8" s="50" t="s">
        <v>740</v>
      </c>
      <c r="EP8" s="50" t="s">
        <v>745</v>
      </c>
      <c r="EQ8" s="50" t="s">
        <v>746</v>
      </c>
      <c r="ER8" s="473">
        <v>148</v>
      </c>
      <c r="ES8" s="473" t="s">
        <v>753</v>
      </c>
      <c r="ET8" s="1144" t="s">
        <v>815</v>
      </c>
      <c r="EU8" s="1144" t="s">
        <v>816</v>
      </c>
      <c r="EV8" s="1144" t="s">
        <v>824</v>
      </c>
      <c r="EW8" s="473" t="s">
        <v>832</v>
      </c>
      <c r="EX8" s="473" t="s">
        <v>850</v>
      </c>
      <c r="EY8" s="473" t="s">
        <v>855</v>
      </c>
    </row>
    <row r="9" spans="1:155" ht="14.25" customHeight="1">
      <c r="A9" s="20" t="s">
        <v>45</v>
      </c>
      <c r="B9" s="21" t="s">
        <v>398</v>
      </c>
      <c r="C9" s="22" t="s">
        <v>3</v>
      </c>
      <c r="D9" s="23" t="s">
        <v>20</v>
      </c>
      <c r="E9" s="21" t="s">
        <v>21</v>
      </c>
      <c r="F9" s="21">
        <v>32</v>
      </c>
      <c r="G9" s="6"/>
      <c r="H9" s="136" t="s">
        <v>241</v>
      </c>
      <c r="I9" s="58" t="s">
        <v>885</v>
      </c>
      <c r="J9" s="57" t="s">
        <v>888</v>
      </c>
      <c r="K9" s="57" t="s">
        <v>891</v>
      </c>
      <c r="L9" s="57" t="s">
        <v>894</v>
      </c>
      <c r="M9" s="57" t="s">
        <v>854</v>
      </c>
      <c r="N9" s="57" t="s">
        <v>857</v>
      </c>
      <c r="O9" s="57" t="s">
        <v>319</v>
      </c>
      <c r="P9" s="57" t="s">
        <v>367</v>
      </c>
      <c r="Q9" s="57" t="s">
        <v>368</v>
      </c>
      <c r="R9" s="57" t="s">
        <v>369</v>
      </c>
      <c r="S9" s="57"/>
      <c r="T9" s="57"/>
      <c r="U9" s="57"/>
      <c r="V9" s="57"/>
      <c r="W9" s="57"/>
      <c r="X9" s="61"/>
      <c r="Y9" s="62" t="s">
        <v>883</v>
      </c>
      <c r="Z9" s="57" t="s">
        <v>881</v>
      </c>
      <c r="AA9" s="57" t="s">
        <v>884</v>
      </c>
      <c r="AB9" s="57" t="s">
        <v>882</v>
      </c>
      <c r="AC9" s="57"/>
      <c r="AD9" s="57"/>
      <c r="AE9" s="57"/>
      <c r="AF9" s="61"/>
      <c r="AG9" s="62"/>
      <c r="AH9" s="57"/>
      <c r="AI9" s="57"/>
      <c r="AJ9" s="63"/>
      <c r="AK9" s="58"/>
      <c r="AL9" s="57"/>
      <c r="AM9" s="57"/>
      <c r="AN9" s="61"/>
      <c r="AO9" s="64"/>
      <c r="AP9" s="64"/>
      <c r="AQ9" s="64"/>
      <c r="AR9" s="60"/>
      <c r="AS9" s="320" t="s">
        <v>863</v>
      </c>
      <c r="AT9" s="198"/>
      <c r="AU9" s="320" t="s">
        <v>803</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299</v>
      </c>
      <c r="BX9" s="159" t="s">
        <v>300</v>
      </c>
      <c r="BY9" s="159" t="s">
        <v>870</v>
      </c>
      <c r="BZ9" s="159" t="s">
        <v>477</v>
      </c>
      <c r="CA9" s="159" t="s">
        <v>408</v>
      </c>
      <c r="CB9" s="159" t="s">
        <v>409</v>
      </c>
      <c r="CC9" s="159" t="s">
        <v>410</v>
      </c>
      <c r="CD9" s="159" t="s">
        <v>411</v>
      </c>
      <c r="CE9" s="159"/>
      <c r="CF9" s="159"/>
      <c r="CG9" s="159"/>
      <c r="CH9" s="159"/>
      <c r="CI9" s="159" t="s">
        <v>501</v>
      </c>
      <c r="CJ9" s="159" t="s">
        <v>412</v>
      </c>
      <c r="CK9" s="159" t="s">
        <v>489</v>
      </c>
      <c r="CL9" s="159" t="s">
        <v>491</v>
      </c>
      <c r="CM9" s="159" t="s">
        <v>493</v>
      </c>
      <c r="CN9" s="159">
        <v>1088</v>
      </c>
      <c r="CO9" s="159">
        <v>720</v>
      </c>
      <c r="CP9" s="159">
        <v>1088</v>
      </c>
      <c r="CQ9" s="292" t="s">
        <v>844</v>
      </c>
      <c r="CR9" s="292" t="s">
        <v>478</v>
      </c>
      <c r="CS9" s="159"/>
      <c r="CT9" s="159"/>
      <c r="CU9" s="159"/>
      <c r="CV9" s="159" t="s">
        <v>500</v>
      </c>
      <c r="CW9" s="159" t="s">
        <v>407</v>
      </c>
      <c r="CX9" s="159" t="s">
        <v>339</v>
      </c>
      <c r="CY9" s="159" t="s">
        <v>435</v>
      </c>
      <c r="CZ9" s="159" t="s">
        <v>436</v>
      </c>
      <c r="DA9" s="159" t="s">
        <v>437</v>
      </c>
      <c r="DB9" s="320" t="s">
        <v>864</v>
      </c>
      <c r="DC9" s="320" t="s">
        <v>865</v>
      </c>
      <c r="DD9" s="159"/>
      <c r="DE9" s="159" t="s">
        <v>237</v>
      </c>
      <c r="DF9" s="159"/>
      <c r="DG9" s="159" t="s">
        <v>441</v>
      </c>
      <c r="DH9" s="159" t="s">
        <v>497</v>
      </c>
      <c r="DI9" s="159" t="s">
        <v>498</v>
      </c>
      <c r="DJ9" s="159" t="s">
        <v>499</v>
      </c>
      <c r="DK9" s="159"/>
      <c r="DL9" s="159"/>
      <c r="DM9" s="159"/>
      <c r="DN9" s="159"/>
      <c r="DO9" s="159"/>
      <c r="DP9" s="159"/>
      <c r="DQ9" s="159"/>
      <c r="DR9" s="159"/>
      <c r="DS9" s="159"/>
      <c r="DT9" s="159"/>
      <c r="DU9" s="159" t="s">
        <v>672</v>
      </c>
      <c r="DV9" s="159" t="s">
        <v>667</v>
      </c>
      <c r="DW9" s="159" t="s">
        <v>668</v>
      </c>
      <c r="DX9" s="159" t="s">
        <v>669</v>
      </c>
      <c r="DY9" s="159" t="s">
        <v>670</v>
      </c>
      <c r="DZ9" s="159"/>
      <c r="EA9" s="159"/>
      <c r="EB9" s="159"/>
      <c r="EC9" s="159"/>
      <c r="ED9" s="159"/>
      <c r="EE9" s="159"/>
      <c r="EF9" s="159"/>
      <c r="EG9" s="159"/>
      <c r="EH9" s="159"/>
      <c r="EI9" s="159"/>
      <c r="EJ9" s="159"/>
      <c r="EK9" s="159"/>
      <c r="EL9" s="292" t="s">
        <v>792</v>
      </c>
      <c r="EM9" s="292" t="s">
        <v>793</v>
      </c>
      <c r="EN9" s="159" t="s">
        <v>791</v>
      </c>
      <c r="EO9" s="992" t="s">
        <v>866</v>
      </c>
      <c r="EP9" s="992" t="s">
        <v>873</v>
      </c>
      <c r="EQ9" s="992" t="s">
        <v>875</v>
      </c>
      <c r="ER9" s="1003">
        <v>1200</v>
      </c>
      <c r="ES9" s="1000"/>
      <c r="ET9" s="1145"/>
      <c r="EU9" s="1145"/>
      <c r="EV9" s="159" t="s">
        <v>827</v>
      </c>
      <c r="EW9" s="159"/>
      <c r="EX9" s="159"/>
      <c r="EY9" s="159"/>
    </row>
    <row r="10" spans="1:155" ht="14.25" customHeight="1">
      <c r="A10" s="137" t="s">
        <v>139</v>
      </c>
      <c r="B10" s="21" t="s">
        <v>398</v>
      </c>
      <c r="C10" s="22" t="s">
        <v>3</v>
      </c>
      <c r="D10" s="23" t="s">
        <v>82</v>
      </c>
      <c r="E10" s="21" t="s">
        <v>82</v>
      </c>
      <c r="F10" s="21" t="s">
        <v>134</v>
      </c>
      <c r="G10" s="6"/>
      <c r="H10" s="136"/>
      <c r="I10" s="183" t="s">
        <v>515</v>
      </c>
      <c r="J10" s="184" t="s">
        <v>513</v>
      </c>
      <c r="K10" s="184" t="s">
        <v>514</v>
      </c>
      <c r="L10" s="184" t="s">
        <v>519</v>
      </c>
      <c r="M10" s="57" t="s">
        <v>508</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754</v>
      </c>
      <c r="AT10" s="63"/>
      <c r="AU10" s="151" t="s">
        <v>755</v>
      </c>
      <c r="AV10" s="63"/>
      <c r="AW10" s="151" t="s">
        <v>756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757</v>
      </c>
      <c r="BZ10" s="157"/>
      <c r="CA10" s="157"/>
      <c r="CB10" s="157"/>
      <c r="CC10" s="157"/>
      <c r="CD10" s="157"/>
      <c r="CE10" s="157"/>
      <c r="CF10" s="157"/>
      <c r="CG10" s="157"/>
      <c r="CH10" s="157"/>
      <c r="CI10" s="157" t="s">
        <v>503</v>
      </c>
      <c r="CJ10" s="157" t="s">
        <v>296</v>
      </c>
      <c r="CK10" s="157" t="s">
        <v>455</v>
      </c>
      <c r="CL10" s="157" t="s">
        <v>456</v>
      </c>
      <c r="CM10" s="157" t="s">
        <v>457</v>
      </c>
      <c r="CN10" s="157">
        <v>1175</v>
      </c>
      <c r="CO10" s="157">
        <v>0</v>
      </c>
      <c r="CP10" s="292" t="s">
        <v>414</v>
      </c>
      <c r="CQ10" s="157" t="s">
        <v>758</v>
      </c>
      <c r="CR10" s="157"/>
      <c r="CS10" s="157"/>
      <c r="CT10" s="159"/>
      <c r="CU10" s="159"/>
      <c r="CV10" s="159" t="s">
        <v>311</v>
      </c>
      <c r="CW10" s="159" t="s">
        <v>335</v>
      </c>
      <c r="CX10" s="159" t="s">
        <v>338</v>
      </c>
      <c r="CY10" s="159" t="s">
        <v>504</v>
      </c>
      <c r="CZ10" s="159" t="s">
        <v>505</v>
      </c>
      <c r="DA10" s="159" t="s">
        <v>506</v>
      </c>
      <c r="DB10" s="323" t="s">
        <v>516</v>
      </c>
      <c r="DC10" s="322"/>
      <c r="DD10" s="159"/>
      <c r="DE10" s="159" t="s">
        <v>238</v>
      </c>
      <c r="DF10" s="159"/>
      <c r="DG10" s="159" t="s">
        <v>507</v>
      </c>
      <c r="DH10" s="157" t="s">
        <v>428</v>
      </c>
      <c r="DI10" s="157" t="s">
        <v>426</v>
      </c>
      <c r="DJ10" s="157" t="s">
        <v>427</v>
      </c>
      <c r="DK10" s="157"/>
      <c r="DL10" s="157"/>
      <c r="DM10" s="292"/>
      <c r="DN10" s="292"/>
      <c r="DO10" s="292"/>
      <c r="DP10" s="292"/>
      <c r="DQ10" s="292"/>
      <c r="DR10" s="292"/>
      <c r="DS10" s="292"/>
      <c r="DT10" s="292"/>
      <c r="DU10" s="158" t="s">
        <v>605</v>
      </c>
      <c r="DV10" s="292" t="s">
        <v>719</v>
      </c>
      <c r="DW10" s="292" t="s">
        <v>716</v>
      </c>
      <c r="DX10" s="292" t="s">
        <v>717</v>
      </c>
      <c r="DY10" s="292" t="s">
        <v>718</v>
      </c>
      <c r="DZ10" s="292"/>
      <c r="EA10" s="292"/>
      <c r="EB10" s="292"/>
      <c r="EC10" s="292"/>
      <c r="ED10" s="292"/>
      <c r="EE10" s="292"/>
      <c r="EF10" s="292"/>
      <c r="EG10" s="292"/>
      <c r="EH10" s="292"/>
      <c r="EI10" s="292"/>
      <c r="EJ10" s="292"/>
      <c r="EK10" s="292"/>
      <c r="EL10" s="292"/>
      <c r="EM10" s="292"/>
      <c r="EN10" s="292"/>
      <c r="EO10" s="323" t="s">
        <v>763</v>
      </c>
      <c r="EP10" s="323" t="s">
        <v>764</v>
      </c>
      <c r="EQ10" s="323" t="s">
        <v>765</v>
      </c>
      <c r="ER10" s="1004">
        <v>1600</v>
      </c>
      <c r="ES10" s="342"/>
      <c r="ET10" s="1145"/>
      <c r="EU10" s="1145"/>
      <c r="EV10" s="159" t="s">
        <v>829</v>
      </c>
      <c r="EW10" s="292"/>
      <c r="EX10" s="292"/>
      <c r="EY10" s="292"/>
    </row>
    <row r="11" spans="1:155" ht="14.25" customHeight="1" thickBot="1">
      <c r="A11" s="20" t="s">
        <v>399</v>
      </c>
      <c r="B11" s="21" t="s">
        <v>398</v>
      </c>
      <c r="C11" s="22" t="s">
        <v>3</v>
      </c>
      <c r="D11" s="23" t="s">
        <v>20</v>
      </c>
      <c r="E11" s="21" t="s">
        <v>51</v>
      </c>
      <c r="F11" s="21">
        <v>32</v>
      </c>
      <c r="G11" s="6"/>
      <c r="H11" s="28" t="s">
        <v>36</v>
      </c>
      <c r="I11" s="25" t="s">
        <v>886</v>
      </c>
      <c r="J11" s="26" t="s">
        <v>889</v>
      </c>
      <c r="K11" s="26" t="s">
        <v>892</v>
      </c>
      <c r="L11" s="26" t="s">
        <v>895</v>
      </c>
      <c r="M11" s="26" t="s">
        <v>486</v>
      </c>
      <c r="N11" s="26" t="s">
        <v>38</v>
      </c>
      <c r="O11" s="57" t="s">
        <v>220</v>
      </c>
      <c r="P11" s="26" t="s">
        <v>39</v>
      </c>
      <c r="Q11" s="26" t="s">
        <v>40</v>
      </c>
      <c r="R11" s="26" t="s">
        <v>91</v>
      </c>
      <c r="S11" s="26"/>
      <c r="T11" s="26"/>
      <c r="U11" s="26"/>
      <c r="V11" s="26"/>
      <c r="W11" s="26"/>
      <c r="X11" s="52"/>
      <c r="Y11" s="62" t="s">
        <v>883</v>
      </c>
      <c r="Z11" s="57" t="s">
        <v>897</v>
      </c>
      <c r="AA11" s="57" t="s">
        <v>884</v>
      </c>
      <c r="AB11" s="57" t="s">
        <v>882</v>
      </c>
      <c r="AC11" s="26"/>
      <c r="AD11" s="26"/>
      <c r="AE11" s="26"/>
      <c r="AF11" s="52"/>
      <c r="AG11" s="49"/>
      <c r="AH11" s="26"/>
      <c r="AI11" s="26"/>
      <c r="AJ11" s="27"/>
      <c r="AK11" s="25"/>
      <c r="AL11" s="26"/>
      <c r="AM11" s="26"/>
      <c r="AN11" s="52"/>
      <c r="AO11" s="59"/>
      <c r="AP11" s="59"/>
      <c r="AQ11" s="59"/>
      <c r="AR11" s="64"/>
      <c r="AS11" s="49" t="s">
        <v>799</v>
      </c>
      <c r="AT11" s="27"/>
      <c r="AU11" s="49" t="s">
        <v>804</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250</v>
      </c>
      <c r="BX11" s="159" t="s">
        <v>251</v>
      </c>
      <c r="BY11" s="160" t="s">
        <v>872</v>
      </c>
      <c r="BZ11" s="159" t="s">
        <v>737</v>
      </c>
      <c r="CA11" s="159" t="s">
        <v>286</v>
      </c>
      <c r="CB11" s="159" t="s">
        <v>281</v>
      </c>
      <c r="CC11" s="159" t="s">
        <v>282</v>
      </c>
      <c r="CD11" s="159" t="s">
        <v>283</v>
      </c>
      <c r="CE11" s="160"/>
      <c r="CF11" s="160"/>
      <c r="CG11" s="160"/>
      <c r="CH11" s="160"/>
      <c r="CI11" s="160" t="s">
        <v>479</v>
      </c>
      <c r="CJ11" s="160" t="s">
        <v>294</v>
      </c>
      <c r="CK11" s="159" t="s">
        <v>488</v>
      </c>
      <c r="CL11" s="159" t="s">
        <v>490</v>
      </c>
      <c r="CM11" s="159" t="s">
        <v>492</v>
      </c>
      <c r="CN11" s="159">
        <v>1088</v>
      </c>
      <c r="CO11" s="160">
        <v>1000</v>
      </c>
      <c r="CP11" s="159">
        <v>1088</v>
      </c>
      <c r="CQ11" s="159" t="s">
        <v>847</v>
      </c>
      <c r="CR11" s="159" t="s">
        <v>846</v>
      </c>
      <c r="CS11" s="160"/>
      <c r="CT11" s="159"/>
      <c r="CU11" s="159"/>
      <c r="CV11" s="159" t="s">
        <v>500</v>
      </c>
      <c r="CW11" s="159" t="s">
        <v>332</v>
      </c>
      <c r="CX11" s="159" t="s">
        <v>339</v>
      </c>
      <c r="CY11" s="159" t="s">
        <v>435</v>
      </c>
      <c r="CZ11" s="159" t="s">
        <v>436</v>
      </c>
      <c r="DA11" s="159" t="s">
        <v>437</v>
      </c>
      <c r="DB11" s="150" t="s">
        <v>858</v>
      </c>
      <c r="DC11" s="150" t="s">
        <v>859</v>
      </c>
      <c r="DD11" s="159"/>
      <c r="DE11" s="159" t="s">
        <v>239</v>
      </c>
      <c r="DF11" s="159"/>
      <c r="DG11" s="159" t="s">
        <v>441</v>
      </c>
      <c r="DH11" s="159" t="s">
        <v>497</v>
      </c>
      <c r="DI11" s="159" t="s">
        <v>498</v>
      </c>
      <c r="DJ11" s="159" t="s">
        <v>499</v>
      </c>
      <c r="DK11" s="159"/>
      <c r="DL11" s="159"/>
      <c r="DM11" s="292"/>
      <c r="DN11" s="292"/>
      <c r="DO11" s="292"/>
      <c r="DP11" s="292"/>
      <c r="DQ11" s="292"/>
      <c r="DR11" s="292"/>
      <c r="DS11" s="292"/>
      <c r="DT11" s="292"/>
      <c r="DU11" s="292" t="s">
        <v>672</v>
      </c>
      <c r="DV11" s="292" t="s">
        <v>667</v>
      </c>
      <c r="DW11" s="292" t="s">
        <v>668</v>
      </c>
      <c r="DX11" s="292" t="s">
        <v>669</v>
      </c>
      <c r="DY11" s="292" t="s">
        <v>670</v>
      </c>
      <c r="DZ11" s="292"/>
      <c r="EA11" s="292"/>
      <c r="EB11" s="292"/>
      <c r="EC11" s="292"/>
      <c r="ED11" s="292"/>
      <c r="EE11" s="292"/>
      <c r="EF11" s="292"/>
      <c r="EG11" s="292"/>
      <c r="EH11" s="292"/>
      <c r="EI11" s="292"/>
      <c r="EJ11" s="292"/>
      <c r="EK11" s="292"/>
      <c r="EL11" s="292"/>
      <c r="EM11" s="292"/>
      <c r="EN11" s="292"/>
      <c r="EO11" s="991" t="s">
        <v>867</v>
      </c>
      <c r="EP11" s="991" t="s">
        <v>848</v>
      </c>
      <c r="EQ11" s="991" t="s">
        <v>849</v>
      </c>
      <c r="ER11" s="1005">
        <v>1323</v>
      </c>
      <c r="ES11" s="1001"/>
      <c r="ET11" s="1145"/>
      <c r="EU11" s="1145"/>
      <c r="EV11" s="159" t="s">
        <v>826</v>
      </c>
      <c r="EW11" s="292"/>
      <c r="EX11" s="292"/>
      <c r="EY11" s="292"/>
    </row>
    <row r="12" spans="1:155" ht="14.25" customHeight="1">
      <c r="A12" s="20" t="s">
        <v>400</v>
      </c>
      <c r="B12" s="21" t="s">
        <v>398</v>
      </c>
      <c r="C12" s="22" t="s">
        <v>3</v>
      </c>
      <c r="D12" s="23" t="s">
        <v>20</v>
      </c>
      <c r="E12" s="21" t="s">
        <v>20</v>
      </c>
      <c r="F12" s="21">
        <v>31</v>
      </c>
      <c r="G12" s="6"/>
      <c r="H12" s="29"/>
      <c r="I12" s="25" t="s">
        <v>887</v>
      </c>
      <c r="J12" s="26" t="s">
        <v>890</v>
      </c>
      <c r="K12" s="26" t="s">
        <v>893</v>
      </c>
      <c r="L12" s="26" t="s">
        <v>896</v>
      </c>
      <c r="M12" s="26" t="s">
        <v>853</v>
      </c>
      <c r="N12" s="26" t="s">
        <v>38</v>
      </c>
      <c r="O12" s="57" t="s">
        <v>220</v>
      </c>
      <c r="P12" s="26" t="s">
        <v>377</v>
      </c>
      <c r="Q12" s="26" t="s">
        <v>378</v>
      </c>
      <c r="R12" s="26" t="s">
        <v>379</v>
      </c>
      <c r="S12" s="26"/>
      <c r="T12" s="26"/>
      <c r="U12" s="26"/>
      <c r="V12" s="26"/>
      <c r="W12" s="26"/>
      <c r="X12" s="52"/>
      <c r="Y12" s="62" t="s">
        <v>883</v>
      </c>
      <c r="Z12" s="57" t="s">
        <v>881</v>
      </c>
      <c r="AA12" s="57" t="s">
        <v>884</v>
      </c>
      <c r="AB12" s="57" t="s">
        <v>882</v>
      </c>
      <c r="AC12" s="26"/>
      <c r="AD12" s="26"/>
      <c r="AE12" s="26"/>
      <c r="AF12" s="52"/>
      <c r="AG12" s="49"/>
      <c r="AH12" s="26"/>
      <c r="AI12" s="26"/>
      <c r="AJ12" s="27"/>
      <c r="AK12" s="25"/>
      <c r="AL12" s="26"/>
      <c r="AM12" s="26"/>
      <c r="AN12" s="52"/>
      <c r="AO12" s="59"/>
      <c r="AP12" s="59"/>
      <c r="AQ12" s="59"/>
      <c r="AR12" s="64"/>
      <c r="AS12" s="49" t="s">
        <v>860</v>
      </c>
      <c r="AT12" s="27"/>
      <c r="AU12" s="49" t="s">
        <v>801</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380</v>
      </c>
      <c r="BX12" s="159" t="s">
        <v>381</v>
      </c>
      <c r="BY12" s="160" t="s">
        <v>871</v>
      </c>
      <c r="BZ12" s="159"/>
      <c r="CA12" s="159" t="s">
        <v>286</v>
      </c>
      <c r="CB12" s="159" t="s">
        <v>281</v>
      </c>
      <c r="CC12" s="159" t="s">
        <v>282</v>
      </c>
      <c r="CD12" s="159" t="s">
        <v>283</v>
      </c>
      <c r="CE12" s="160"/>
      <c r="CF12" s="160"/>
      <c r="CG12" s="160"/>
      <c r="CH12" s="160"/>
      <c r="CI12" s="160" t="s">
        <v>479</v>
      </c>
      <c r="CJ12" s="160" t="s">
        <v>294</v>
      </c>
      <c r="CK12" s="159" t="s">
        <v>489</v>
      </c>
      <c r="CL12" s="159" t="s">
        <v>491</v>
      </c>
      <c r="CM12" s="159" t="s">
        <v>493</v>
      </c>
      <c r="CN12" s="292" t="s">
        <v>328</v>
      </c>
      <c r="CO12" s="160">
        <v>2880</v>
      </c>
      <c r="CP12" s="292" t="s">
        <v>303</v>
      </c>
      <c r="CQ12" s="292" t="s">
        <v>845</v>
      </c>
      <c r="CR12" s="292"/>
      <c r="CS12" s="160"/>
      <c r="CT12" s="159"/>
      <c r="CU12" s="159"/>
      <c r="CV12" s="159" t="s">
        <v>500</v>
      </c>
      <c r="CW12" s="159" t="s">
        <v>332</v>
      </c>
      <c r="CX12" s="159" t="s">
        <v>339</v>
      </c>
      <c r="CY12" s="159" t="s">
        <v>435</v>
      </c>
      <c r="CZ12" s="159" t="s">
        <v>436</v>
      </c>
      <c r="DA12" s="159" t="s">
        <v>437</v>
      </c>
      <c r="DB12" s="320" t="s">
        <v>861</v>
      </c>
      <c r="DC12" s="320" t="s">
        <v>862</v>
      </c>
      <c r="DD12" s="159"/>
      <c r="DE12" s="159" t="s">
        <v>240</v>
      </c>
      <c r="DF12" s="159"/>
      <c r="DG12" s="159" t="s">
        <v>441</v>
      </c>
      <c r="DH12" s="159" t="s">
        <v>497</v>
      </c>
      <c r="DI12" s="159" t="s">
        <v>498</v>
      </c>
      <c r="DJ12" s="159" t="s">
        <v>499</v>
      </c>
      <c r="DK12" s="159"/>
      <c r="DL12" s="159"/>
      <c r="DM12" s="292"/>
      <c r="DN12" s="292"/>
      <c r="DO12" s="292"/>
      <c r="DP12" s="292"/>
      <c r="DQ12" s="292"/>
      <c r="DR12" s="292"/>
      <c r="DS12" s="292"/>
      <c r="DT12" s="292"/>
      <c r="DU12" s="292" t="s">
        <v>672</v>
      </c>
      <c r="DV12" s="292" t="s">
        <v>667</v>
      </c>
      <c r="DW12" s="292" t="s">
        <v>668</v>
      </c>
      <c r="DX12" s="292" t="s">
        <v>669</v>
      </c>
      <c r="DY12" s="292" t="s">
        <v>670</v>
      </c>
      <c r="DZ12" s="292"/>
      <c r="EA12" s="292"/>
      <c r="EB12" s="292"/>
      <c r="EC12" s="292"/>
      <c r="ED12" s="292"/>
      <c r="EE12" s="292"/>
      <c r="EF12" s="292"/>
      <c r="EG12" s="292"/>
      <c r="EH12" s="292"/>
      <c r="EI12" s="292"/>
      <c r="EJ12" s="292"/>
      <c r="EK12" s="292"/>
      <c r="EL12" s="292" t="s">
        <v>792</v>
      </c>
      <c r="EM12" s="292" t="s">
        <v>793</v>
      </c>
      <c r="EN12" s="159" t="s">
        <v>791</v>
      </c>
      <c r="EO12" s="992" t="s">
        <v>869</v>
      </c>
      <c r="EP12" s="992" t="s">
        <v>874</v>
      </c>
      <c r="EQ12" s="992" t="s">
        <v>876</v>
      </c>
      <c r="ER12" s="1003">
        <v>680</v>
      </c>
      <c r="ES12" s="1002"/>
      <c r="ET12" s="1145"/>
      <c r="EU12" s="1145"/>
      <c r="EV12" s="159" t="s">
        <v>826</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511</v>
      </c>
      <c r="J15" s="26" t="s">
        <v>771</v>
      </c>
      <c r="K15" s="26" t="s">
        <v>779</v>
      </c>
      <c r="L15" s="26" t="s">
        <v>784</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759</v>
      </c>
      <c r="BZ15" s="217" t="s">
        <v>837</v>
      </c>
      <c r="CA15" s="158"/>
      <c r="CB15" s="158"/>
      <c r="CC15" s="158"/>
      <c r="CD15" s="158"/>
      <c r="CE15" s="158"/>
      <c r="CF15" s="158"/>
      <c r="CG15" s="158"/>
      <c r="CH15" s="158"/>
      <c r="CI15" s="158" t="s">
        <v>485</v>
      </c>
      <c r="CJ15" s="158" t="s">
        <v>393</v>
      </c>
      <c r="CK15" s="158" t="s">
        <v>458</v>
      </c>
      <c r="CL15" s="158" t="s">
        <v>459</v>
      </c>
      <c r="CM15" s="158" t="s">
        <v>460</v>
      </c>
      <c r="CN15" s="158">
        <v>1262</v>
      </c>
      <c r="CO15" s="158">
        <v>6600</v>
      </c>
      <c r="CP15" s="158">
        <v>1262</v>
      </c>
      <c r="CQ15" s="217" t="s">
        <v>512</v>
      </c>
      <c r="CR15" s="217" t="s">
        <v>838</v>
      </c>
      <c r="CS15" s="158" t="s">
        <v>385</v>
      </c>
      <c r="CT15" s="159"/>
      <c r="CU15" s="159"/>
      <c r="CV15" s="159" t="s">
        <v>370</v>
      </c>
      <c r="CW15" s="159" t="s">
        <v>333</v>
      </c>
      <c r="CX15" s="159" t="s">
        <v>155</v>
      </c>
      <c r="CY15" s="159"/>
      <c r="CZ15" s="159"/>
      <c r="DA15" s="159"/>
      <c r="DB15" s="150" t="s">
        <v>772</v>
      </c>
      <c r="DC15" s="150" t="s">
        <v>773</v>
      </c>
      <c r="DD15" s="159"/>
      <c r="DE15" s="159" t="s">
        <v>518</v>
      </c>
      <c r="DF15" s="159" t="s">
        <v>406</v>
      </c>
      <c r="DG15" s="159"/>
      <c r="DH15" s="158" t="s">
        <v>423</v>
      </c>
      <c r="DI15" s="158" t="s">
        <v>424</v>
      </c>
      <c r="DJ15" s="158" t="s">
        <v>425</v>
      </c>
      <c r="DK15" s="158"/>
      <c r="DL15" s="158"/>
      <c r="DM15" s="158"/>
      <c r="DN15" s="158"/>
      <c r="DO15" s="158"/>
      <c r="DP15" s="158"/>
      <c r="DQ15" s="158"/>
      <c r="DR15" s="158"/>
      <c r="DS15" s="158"/>
      <c r="DT15" s="158"/>
      <c r="DU15" s="158" t="s">
        <v>604</v>
      </c>
      <c r="DV15" s="158"/>
      <c r="DW15" s="158"/>
      <c r="DX15" s="158"/>
      <c r="DY15" s="158"/>
      <c r="DZ15" s="158"/>
      <c r="EA15" s="158"/>
      <c r="EB15" s="158" t="s">
        <v>735</v>
      </c>
      <c r="EC15" s="158" t="s">
        <v>612</v>
      </c>
      <c r="ED15" s="158"/>
      <c r="EE15" s="158">
        <v>6000</v>
      </c>
      <c r="EF15" s="158">
        <v>650</v>
      </c>
      <c r="EG15" s="158"/>
      <c r="EH15" s="158"/>
      <c r="EI15" s="158" t="s">
        <v>613</v>
      </c>
      <c r="EJ15" s="158"/>
      <c r="EK15" s="158"/>
      <c r="EL15" s="158"/>
      <c r="EM15" s="158"/>
      <c r="EN15" s="158"/>
      <c r="EO15" s="991" t="s">
        <v>800</v>
      </c>
      <c r="EP15" s="991" t="s">
        <v>802</v>
      </c>
      <c r="EQ15" s="991" t="s">
        <v>808</v>
      </c>
      <c r="ER15" s="1006" t="s">
        <v>762</v>
      </c>
      <c r="ES15" s="1001"/>
      <c r="ET15" s="1145"/>
      <c r="EU15" s="1145"/>
      <c r="EV15" s="159" t="s">
        <v>825</v>
      </c>
      <c r="EW15" s="158"/>
      <c r="EX15" s="158"/>
      <c r="EY15" s="158"/>
    </row>
    <row r="16" spans="1:155" ht="14.25" customHeight="1">
      <c r="A16" s="7" t="s">
        <v>400</v>
      </c>
      <c r="B16" s="21" t="s">
        <v>398</v>
      </c>
      <c r="C16" s="22" t="s">
        <v>3</v>
      </c>
      <c r="D16" s="23" t="s">
        <v>20</v>
      </c>
      <c r="E16" s="21" t="s">
        <v>20</v>
      </c>
      <c r="F16" s="21">
        <v>31</v>
      </c>
      <c r="G16" s="6"/>
      <c r="H16" s="24"/>
      <c r="I16" s="25" t="s">
        <v>511</v>
      </c>
      <c r="J16" s="26" t="s">
        <v>774</v>
      </c>
      <c r="K16" s="26" t="s">
        <v>780</v>
      </c>
      <c r="L16" s="26" t="s">
        <v>785</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775</v>
      </c>
      <c r="AT16" s="27"/>
      <c r="AU16" s="49" t="s">
        <v>781</v>
      </c>
      <c r="AV16" s="27"/>
      <c r="AW16" s="49" t="s">
        <v>786</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523</v>
      </c>
      <c r="BZ16" s="160"/>
      <c r="CA16" s="160"/>
      <c r="CB16" s="160"/>
      <c r="CC16" s="160"/>
      <c r="CD16" s="160"/>
      <c r="CE16" s="160"/>
      <c r="CF16" s="160"/>
      <c r="CG16" s="160"/>
      <c r="CH16" s="160"/>
      <c r="CI16" s="160" t="s">
        <v>485</v>
      </c>
      <c r="CJ16" s="160" t="s">
        <v>393</v>
      </c>
      <c r="CK16" s="158" t="s">
        <v>458</v>
      </c>
      <c r="CL16" s="158" t="s">
        <v>459</v>
      </c>
      <c r="CM16" s="158" t="s">
        <v>460</v>
      </c>
      <c r="CN16" s="292" t="s">
        <v>328</v>
      </c>
      <c r="CO16" s="160">
        <v>2880</v>
      </c>
      <c r="CP16" s="217" t="s">
        <v>304</v>
      </c>
      <c r="CQ16" s="217" t="s">
        <v>512</v>
      </c>
      <c r="CR16" s="217"/>
      <c r="CS16" s="158" t="s">
        <v>385</v>
      </c>
      <c r="CT16" s="159"/>
      <c r="CU16" s="159"/>
      <c r="CV16" s="159" t="s">
        <v>370</v>
      </c>
      <c r="CW16" s="159" t="s">
        <v>333</v>
      </c>
      <c r="CX16" s="159" t="s">
        <v>155</v>
      </c>
      <c r="CY16" s="159"/>
      <c r="CZ16" s="159"/>
      <c r="DA16" s="159"/>
      <c r="DB16" s="150" t="s">
        <v>776</v>
      </c>
      <c r="DC16" s="150" t="s">
        <v>777</v>
      </c>
      <c r="DD16" s="159"/>
      <c r="DE16" s="159" t="s">
        <v>518</v>
      </c>
      <c r="DF16" s="159" t="s">
        <v>406</v>
      </c>
      <c r="DG16" s="159"/>
      <c r="DH16" s="158" t="s">
        <v>423</v>
      </c>
      <c r="DI16" s="158" t="s">
        <v>424</v>
      </c>
      <c r="DJ16" s="158" t="s">
        <v>425</v>
      </c>
      <c r="DK16" s="158"/>
      <c r="DL16" s="158"/>
      <c r="DM16" s="158"/>
      <c r="DN16" s="158"/>
      <c r="DO16" s="158"/>
      <c r="DP16" s="158"/>
      <c r="DQ16" s="158"/>
      <c r="DR16" s="158"/>
      <c r="DS16" s="158"/>
      <c r="DT16" s="158"/>
      <c r="DU16" s="158" t="s">
        <v>604</v>
      </c>
      <c r="DV16" s="158"/>
      <c r="DW16" s="158"/>
      <c r="DX16" s="158"/>
      <c r="DY16" s="158"/>
      <c r="DZ16" s="158"/>
      <c r="EA16" s="158"/>
      <c r="EB16" s="158"/>
      <c r="EC16" s="158"/>
      <c r="ED16" s="158"/>
      <c r="EE16" s="158"/>
      <c r="EF16" s="158"/>
      <c r="EG16" s="158"/>
      <c r="EH16" s="158"/>
      <c r="EI16" s="158" t="s">
        <v>613</v>
      </c>
      <c r="EJ16" s="158"/>
      <c r="EK16" s="158"/>
      <c r="EL16" s="158"/>
      <c r="EM16" s="158"/>
      <c r="EN16" s="158"/>
      <c r="EO16" s="991" t="s">
        <v>778</v>
      </c>
      <c r="EP16" s="991" t="s">
        <v>782</v>
      </c>
      <c r="EQ16" s="991" t="s">
        <v>787</v>
      </c>
      <c r="ER16" s="1005">
        <v>1000</v>
      </c>
      <c r="ES16" s="1001"/>
      <c r="ET16" s="1145"/>
      <c r="EU16" s="1145"/>
      <c r="EV16" s="159" t="s">
        <v>825</v>
      </c>
      <c r="EW16" s="158"/>
      <c r="EX16" s="158"/>
      <c r="EY16" s="158"/>
    </row>
    <row r="17" spans="1:155" ht="14.25" customHeight="1">
      <c r="A17" s="7" t="s">
        <v>139</v>
      </c>
      <c r="B17" s="21" t="s">
        <v>398</v>
      </c>
      <c r="C17" s="22" t="s">
        <v>3</v>
      </c>
      <c r="D17" s="23" t="s">
        <v>82</v>
      </c>
      <c r="E17" s="21" t="s">
        <v>82</v>
      </c>
      <c r="F17" s="21" t="s">
        <v>134</v>
      </c>
      <c r="G17" s="6"/>
      <c r="H17" s="24"/>
      <c r="I17" s="25" t="s">
        <v>140</v>
      </c>
      <c r="J17" s="26" t="s">
        <v>819</v>
      </c>
      <c r="K17" s="26" t="s">
        <v>142</v>
      </c>
      <c r="L17" s="26" t="s">
        <v>783</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524</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724</v>
      </c>
      <c r="BZ17" s="177" t="s">
        <v>734</v>
      </c>
      <c r="CA17" s="157"/>
      <c r="CB17" s="157"/>
      <c r="CC17" s="157"/>
      <c r="CD17" s="157"/>
      <c r="CE17" s="157"/>
      <c r="CF17" s="157"/>
      <c r="CG17" s="157"/>
      <c r="CH17" s="157"/>
      <c r="CI17" s="157" t="s">
        <v>502</v>
      </c>
      <c r="CJ17" s="157" t="s">
        <v>295</v>
      </c>
      <c r="CK17" s="157" t="s">
        <v>461</v>
      </c>
      <c r="CL17" s="157" t="s">
        <v>462</v>
      </c>
      <c r="CM17" s="157" t="s">
        <v>462</v>
      </c>
      <c r="CN17" s="157">
        <v>1175</v>
      </c>
      <c r="CO17" s="157">
        <v>1800</v>
      </c>
      <c r="CP17" s="292" t="s">
        <v>413</v>
      </c>
      <c r="CQ17" s="157" t="s">
        <v>733</v>
      </c>
      <c r="CR17" s="157"/>
      <c r="CS17" s="157" t="s">
        <v>617</v>
      </c>
      <c r="CT17" s="159"/>
      <c r="CU17" s="159"/>
      <c r="CV17" s="159" t="s">
        <v>310</v>
      </c>
      <c r="CW17" s="159" t="s">
        <v>334</v>
      </c>
      <c r="CX17" s="159" t="s">
        <v>337</v>
      </c>
      <c r="CY17" s="159"/>
      <c r="CZ17" s="159"/>
      <c r="DA17" s="159"/>
      <c r="DB17" s="323" t="s">
        <v>770</v>
      </c>
      <c r="DC17" s="329"/>
      <c r="DD17" s="159"/>
      <c r="DE17" s="330" t="s">
        <v>517</v>
      </c>
      <c r="DF17" s="330" t="s">
        <v>141</v>
      </c>
      <c r="DG17" s="159"/>
      <c r="DH17" s="157" t="s">
        <v>431</v>
      </c>
      <c r="DI17" s="157" t="s">
        <v>429</v>
      </c>
      <c r="DJ17" s="157" t="s">
        <v>430</v>
      </c>
      <c r="DK17" s="157"/>
      <c r="DL17" s="157"/>
      <c r="DM17" s="158"/>
      <c r="DN17" s="158"/>
      <c r="DO17" s="158"/>
      <c r="DP17" s="158"/>
      <c r="DQ17" s="158"/>
      <c r="DR17" s="158"/>
      <c r="DS17" s="158"/>
      <c r="DT17" s="158"/>
      <c r="DU17" s="158" t="s">
        <v>605</v>
      </c>
      <c r="DV17" s="158"/>
      <c r="DW17" s="158"/>
      <c r="DX17" s="158"/>
      <c r="DY17" s="158"/>
      <c r="DZ17" s="158"/>
      <c r="EA17" s="158"/>
      <c r="EB17" s="158" t="s">
        <v>611</v>
      </c>
      <c r="EC17" s="158" t="s">
        <v>614</v>
      </c>
      <c r="ED17" s="158"/>
      <c r="EE17" s="158">
        <v>1200</v>
      </c>
      <c r="EF17" s="158">
        <v>600</v>
      </c>
      <c r="EG17" s="158"/>
      <c r="EH17" s="158"/>
      <c r="EI17" s="158" t="s">
        <v>616</v>
      </c>
      <c r="EJ17" s="158"/>
      <c r="EK17" s="158"/>
      <c r="EL17" s="158"/>
      <c r="EM17" s="158"/>
      <c r="EN17" s="158"/>
      <c r="EO17" s="323" t="s">
        <v>770</v>
      </c>
      <c r="EP17" s="323" t="s">
        <v>142</v>
      </c>
      <c r="EQ17" s="323" t="s">
        <v>783</v>
      </c>
      <c r="ER17" s="1004">
        <v>1600</v>
      </c>
      <c r="ES17" s="342"/>
      <c r="ET17" s="1145"/>
      <c r="EU17" s="1145"/>
      <c r="EV17" s="159" t="s">
        <v>828</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IPqSl/3lJRBqkYhWz7awCglYBcseATmr5//gp/5DxBGIcdmI8MMgkZdYHN/7mcQfOk3bjzsE64bxD+6RDisBQ==" saltValue="feNEOtbzgy/oiKQOM7dv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LUGO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660</v>
      </c>
      <c r="L5" s="1483" t="s">
        <v>557</v>
      </c>
      <c r="M5" s="1483" t="s">
        <v>525</v>
      </c>
      <c r="N5" s="1483" t="s">
        <v>661</v>
      </c>
      <c r="O5" s="1515" t="s">
        <v>583</v>
      </c>
      <c r="P5" s="1483" t="s">
        <v>679</v>
      </c>
      <c r="Q5" s="1483" t="s">
        <v>674</v>
      </c>
      <c r="R5" s="1483" t="s">
        <v>164</v>
      </c>
      <c r="S5" s="1518" t="s">
        <v>671</v>
      </c>
      <c r="T5" s="1518" t="s">
        <v>673</v>
      </c>
      <c r="U5" s="1483" t="s">
        <v>586</v>
      </c>
      <c r="V5" s="1518" t="s">
        <v>558</v>
      </c>
      <c r="W5" s="1483" t="s">
        <v>766</v>
      </c>
      <c r="X5" s="1483" t="s">
        <v>767</v>
      </c>
      <c r="Y5" s="1486" t="s">
        <v>662</v>
      </c>
      <c r="Z5" s="1501" t="s">
        <v>608</v>
      </c>
      <c r="AA5" s="1504" t="s">
        <v>559</v>
      </c>
      <c r="AB5" s="1501" t="s">
        <v>560</v>
      </c>
      <c r="AC5" s="1501" t="s">
        <v>561</v>
      </c>
      <c r="AD5" s="1480" t="s">
        <v>663</v>
      </c>
      <c r="AE5" s="1480" t="s">
        <v>794</v>
      </c>
      <c r="AF5" s="1483" t="s">
        <v>675</v>
      </c>
      <c r="AG5" s="1483" t="s">
        <v>526</v>
      </c>
      <c r="AH5" s="1483" t="s">
        <v>664</v>
      </c>
      <c r="AI5" s="1483" t="s">
        <v>175</v>
      </c>
      <c r="AJ5" s="1483" t="s">
        <v>729</v>
      </c>
      <c r="AK5" s="1483" t="s">
        <v>527</v>
      </c>
      <c r="AL5" s="1483" t="s">
        <v>528</v>
      </c>
      <c r="AM5" s="1483" t="s">
        <v>680</v>
      </c>
      <c r="AN5" s="1483" t="s">
        <v>529</v>
      </c>
      <c r="AO5" s="1483" t="s">
        <v>530</v>
      </c>
      <c r="AP5" s="1483" t="s">
        <v>531</v>
      </c>
      <c r="AQ5" s="1483" t="s">
        <v>532</v>
      </c>
      <c r="AR5" s="1483" t="s">
        <v>665</v>
      </c>
      <c r="AS5" s="1483" t="s">
        <v>178</v>
      </c>
      <c r="AT5" s="1489" t="s">
        <v>176</v>
      </c>
      <c r="AU5" s="1483" t="s">
        <v>676</v>
      </c>
      <c r="AV5" s="1492" t="s">
        <v>677</v>
      </c>
      <c r="AW5" s="1495" t="s">
        <v>534</v>
      </c>
      <c r="AX5" s="1483" t="s">
        <v>535</v>
      </c>
      <c r="AY5" s="1483" t="s">
        <v>606</v>
      </c>
      <c r="AZ5" s="1498" t="s">
        <v>607</v>
      </c>
      <c r="BA5" s="1483" t="s">
        <v>563</v>
      </c>
      <c r="BB5" s="1492" t="s">
        <v>564</v>
      </c>
      <c r="BC5" s="1495" t="s">
        <v>179</v>
      </c>
      <c r="BD5" s="1483" t="s">
        <v>565</v>
      </c>
      <c r="BE5" s="1483" t="s">
        <v>243</v>
      </c>
      <c r="BF5" s="1483" t="s">
        <v>244</v>
      </c>
      <c r="BG5" s="1483" t="s">
        <v>245</v>
      </c>
      <c r="BH5" s="1483" t="s">
        <v>566</v>
      </c>
      <c r="BI5" s="1483" t="s">
        <v>246</v>
      </c>
      <c r="BJ5" s="1483" t="s">
        <v>567</v>
      </c>
      <c r="BK5" s="1483" t="s">
        <v>581</v>
      </c>
      <c r="BL5" s="1483" t="s">
        <v>568</v>
      </c>
      <c r="BM5" s="1483" t="s">
        <v>569</v>
      </c>
      <c r="BN5" s="1483" t="s">
        <v>594</v>
      </c>
      <c r="BO5" s="1483" t="s">
        <v>587</v>
      </c>
      <c r="BP5" s="1483" t="s">
        <v>831</v>
      </c>
      <c r="BQ5" s="1483" t="s">
        <v>834</v>
      </c>
      <c r="BR5" s="1483" t="s">
        <v>836</v>
      </c>
      <c r="BS5" s="1483" t="s">
        <v>588</v>
      </c>
      <c r="BT5" s="1483" t="s">
        <v>570</v>
      </c>
      <c r="BU5" s="1483" t="s">
        <v>533</v>
      </c>
      <c r="BV5" s="1507" t="s">
        <v>768</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242</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526</v>
      </c>
      <c r="O9" s="337"/>
      <c r="P9" s="337"/>
      <c r="Q9" s="229">
        <f>IF(ISNUMBER(Datos!P9),Datos!P9,0)</f>
        <v>1723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1911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100</v>
      </c>
      <c r="AI9" s="337" t="str">
        <f>IF(ISNUMBER(Datos!CD9),Datos!CD9,"-")</f>
        <v>-</v>
      </c>
      <c r="AJ9" s="337" t="str">
        <f>IF(ISNUMBER(Datos!EN9),Datos!EN9," - ")</f>
        <v xml:space="preserve"> - </v>
      </c>
      <c r="AK9" s="337"/>
      <c r="AL9" s="482"/>
      <c r="AM9" s="338">
        <f>IF(ISNUMBER(Datos!R9),Datos!R9," - ")</f>
        <v>4846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2138</v>
      </c>
      <c r="BD9" s="232">
        <f>IF(ISNUMBER(Datos!N9),Datos!N9," - ")</f>
        <v>2681</v>
      </c>
      <c r="BE9" s="232" t="str">
        <f>IF(ISNUMBER(Datos!BW9),Datos!BW9," - ")</f>
        <v xml:space="preserve"> - </v>
      </c>
      <c r="BF9" s="231" t="str">
        <f>IF(ISNUMBER(Datos!BX9),Datos!BX9," - ")</f>
        <v xml:space="preserve"> - </v>
      </c>
      <c r="BG9" s="246">
        <f>IF(ISNUMBER(IF(J_V="SI",Datos!K9/Datos!J9,(Datos!K9+Datos!AA9)/(Datos!J9+Datos!Z9))),IF(J_V="SI",Datos!K9/Datos!J9,(Datos!K9+Datos!AA9)/(Datos!J9+Datos!Z9))," - ")</f>
        <v>1.0069124423963134</v>
      </c>
      <c r="BH9" s="263">
        <f>IF(ISNUMBER(((IF(J_V="SI",Datos!L9/Datos!K9,(Datos!L9+Datos!AB9)/(Datos!K9+Datos!AA9)))*11)/factor_trimestre),((IF(J_V="SI",Datos!L9/Datos!K9,(Datos!L9+Datos!AB9)/(Datos!K9+Datos!AA9)))*11)/factor_trimestre," - ")</f>
        <v>6.0441512989635209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-3.7346046881207788E-2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0</v>
      </c>
      <c r="F10" s="228">
        <f>IF(ISNUMBER(Datos!L10+Datos!K10-Datos!J10),Datos!L10+Datos!K10-Datos!J10," - ")</f>
        <v>96</v>
      </c>
      <c r="G10" s="336">
        <f>IF(ISNUMBER(Datos!I10),Datos!I10," - ")</f>
        <v>96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82</v>
      </c>
      <c r="AC10" s="229">
        <f>IF(ISNUMBER(Datos!Q10),Datos!Q10," - ")</f>
        <v>0</v>
      </c>
      <c r="AD10" s="337"/>
      <c r="AE10" s="487"/>
      <c r="AF10" s="335">
        <f>IF(ISNUMBER(Datos!L10),Datos!L10,"-")</f>
        <v>73</v>
      </c>
      <c r="AG10" s="337"/>
      <c r="AH10" s="337"/>
      <c r="AI10" s="337"/>
      <c r="AJ10" s="337"/>
      <c r="AK10" s="337"/>
      <c r="AL10" s="482"/>
      <c r="AM10" s="338">
        <f>IF(ISNUMBER(Datos!R10),Datos!R10," - ")</f>
        <v>53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52</v>
      </c>
      <c r="BD10" s="232">
        <f>IF(ISNUMBER(Datos!N10),Datos!N10," - ")</f>
        <v>7</v>
      </c>
      <c r="BE10" s="232" t="str">
        <f>IF(ISNUMBER(Datos!BW10),Datos!BW10," - ")</f>
        <v xml:space="preserve"> - </v>
      </c>
      <c r="BF10" s="231" t="str">
        <f>IF(ISNUMBER(Datos!BX10),Datos!BX10," - ")</f>
        <v xml:space="preserve"> - </v>
      </c>
      <c r="BG10" s="246">
        <f>IF(ISNUMBER(Datos!K10/Datos!J10),Datos!K10/Datos!J10," - ")</f>
        <v>1.3898305084745763</v>
      </c>
      <c r="BH10" s="263">
        <f>IF(ISNUMBER(((Datos!L10/Datos!K10)*11)/factor_trimestre),((Datos!L10/Datos!K10)*11)/factor_trimestre," - ")</f>
        <v>9.7926829268292686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0.15217391304347827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242</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603</v>
      </c>
      <c r="O11" s="337"/>
      <c r="P11" s="337"/>
      <c r="Q11" s="229">
        <f>IF(ISNUMBER(Datos!P11),Datos!P11,0)</f>
        <v>19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v>
      </c>
      <c r="AD11" s="337"/>
      <c r="AE11" s="487"/>
      <c r="AF11" s="335" t="str">
        <f>IF(ISNUMBER(IF(J_V="SI",Datos!L11,Datos!L11+Datos!AB11)-IF(Monitorios="SI",Datos!CD11,0)),
                          IF(J_V="SI",Datos!L11,Datos!L11+Datos!AB11)-IF(Monitorios="SI",Datos!CD11,0),
                          " - ")</f>
        <v xml:space="preserve"> - </v>
      </c>
      <c r="AG11" s="337"/>
      <c r="AH11" s="337">
        <f>IF(ISNUMBER(Datos!AB11),Datos!AB11,"-")</f>
        <v>56</v>
      </c>
      <c r="AI11" s="337"/>
      <c r="AJ11" s="337"/>
      <c r="AK11" s="337"/>
      <c r="AL11" s="482"/>
      <c r="AM11" s="338">
        <f>IF(ISNUMBER(Datos!R11),Datos!R11," - ")</f>
        <v>17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158</v>
      </c>
      <c r="BD11" s="232">
        <f>IF(ISNUMBER(Datos!N11),Datos!N11," - ")</f>
        <v>581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0.73790022338049144</v>
      </c>
      <c r="BH11" s="263">
        <f>IF(ISNUMBER(((IF(J_V="SI",Datos!L11/Datos!K11,(Datos!L11+Datos!AB11)/(Datos!K11+Datos!AA11)))*11)/factor_trimestre),((IF(J_V="SI",Datos!L11/Datos!K11,(Datos!L11+Datos!AB11)/(Datos!K11+Datos!AA11)))*11)/factor_trimestre," - ")</f>
        <v>3.7850655903128154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-18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v>
      </c>
      <c r="O12" s="337"/>
      <c r="P12" s="337"/>
      <c r="Q12" s="229">
        <f>IF(ISNUMBER(Datos!P12),Datos!P12,0)</f>
        <v>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387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16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3</v>
      </c>
      <c r="BH12" s="263">
        <f>IF(ISNUMBER(((IF(J_V="SI",Datos!L12/Datos!K12,(Datos!L12+Datos!AB12)/(Datos!K12+Datos!AA12)))*11)/factor_trimestre),((IF(J_V="SI",Datos!L12/Datos!K12,(Datos!L12+Datos!AB12)/(Datos!K12+Datos!AA12)))*11)/factor_trimestre," - ")</f>
        <v>7.333333333333333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-4.2079207920792082E-2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96</v>
      </c>
      <c r="G13" s="901">
        <f t="shared" si="0"/>
        <v>96</v>
      </c>
      <c r="H13" s="902">
        <f t="shared" si="0"/>
        <v>0</v>
      </c>
      <c r="I13" s="901">
        <f t="shared" si="0"/>
        <v>0</v>
      </c>
      <c r="J13" s="870">
        <f t="shared" si="0"/>
        <v>0</v>
      </c>
      <c r="K13" s="870">
        <f t="shared" si="0"/>
        <v>0</v>
      </c>
      <c r="L13" s="902">
        <f t="shared" si="0"/>
        <v>0</v>
      </c>
      <c r="M13" s="902">
        <f t="shared" si="0"/>
        <v>0</v>
      </c>
      <c r="N13" s="902">
        <f t="shared" si="0"/>
        <v>1130</v>
      </c>
      <c r="O13" s="903">
        <f t="shared" si="0"/>
        <v>0</v>
      </c>
      <c r="P13" s="903">
        <f t="shared" si="0"/>
        <v>0</v>
      </c>
      <c r="Q13" s="902">
        <f t="shared" si="0"/>
        <v>1753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82</v>
      </c>
      <c r="AC13" s="902">
        <f t="shared" si="1"/>
        <v>1933</v>
      </c>
      <c r="AD13" s="902">
        <f t="shared" si="1"/>
        <v>0</v>
      </c>
      <c r="AE13" s="902">
        <f t="shared" si="1"/>
        <v>0</v>
      </c>
      <c r="AF13" s="902">
        <f t="shared" si="1"/>
        <v>73</v>
      </c>
      <c r="AG13" s="902">
        <f t="shared" si="1"/>
        <v>0</v>
      </c>
      <c r="AH13" s="902">
        <f t="shared" si="1"/>
        <v>156</v>
      </c>
      <c r="AI13" s="902">
        <f t="shared" si="1"/>
        <v>0</v>
      </c>
      <c r="AJ13" s="902">
        <f t="shared" si="1"/>
        <v>0</v>
      </c>
      <c r="AK13" s="902">
        <f t="shared" si="1"/>
        <v>0</v>
      </c>
      <c r="AL13" s="902">
        <f t="shared" si="1"/>
        <v>0</v>
      </c>
      <c r="AM13" s="902">
        <f t="shared" si="1"/>
        <v>5303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2348</v>
      </c>
      <c r="BD13" s="902">
        <f t="shared" si="1"/>
        <v>3285</v>
      </c>
      <c r="BE13" s="902">
        <f t="shared" si="1"/>
        <v>0</v>
      </c>
      <c r="BF13" s="902">
        <f t="shared" si="1"/>
        <v>0</v>
      </c>
      <c r="BG13" s="902">
        <f>IF(ISNUMBER(Datos!K13/Datos!J13),Datos!K13/Datos!J13," - ")</f>
        <v>0.95294732714677821</v>
      </c>
      <c r="BH13" s="906">
        <f>IF(ISNUMBER(((Datos!L13/Datos!K13)*11)/factor_trimestre),((Datos!L13/Datos!K13)*11)/factor_trimestre," - ")</f>
        <v>6.5508160746125359</v>
      </c>
      <c r="BI13" s="902">
        <f>IF(ISNUMBER('Resol  Asuntos'!D13/NºAsuntos!G13),'Resol  Asuntos'!D13/NºAsuntos!G13," - ")</f>
        <v>0.27607289829512049</v>
      </c>
      <c r="BJ13" s="902" t="str">
        <f>IF(ISNUMBER(Datos!CI13/Datos!CJ13),Datos!CI13/Datos!CJ13," - ")</f>
        <v xml:space="preserve"> - </v>
      </c>
      <c r="BK13" s="902">
        <f>SUBTOTAL(9,BK8:BK12)</f>
        <v>0</v>
      </c>
      <c r="BL13" s="902">
        <f>IF(ISNUMBER((I13-AB13+L13)/(F13)),(I13-AB13+L13)/(F13)," - ")</f>
        <v>-0.85416666666666663</v>
      </c>
      <c r="BM13" s="907">
        <f>SUBTOTAL(9,BM9:BM12)</f>
        <v>-17.927251341758524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392</v>
      </c>
      <c r="C15" s="603" t="str">
        <f>Datos!A15</f>
        <v xml:space="preserve">Jdos. Instrucción                               </v>
      </c>
      <c r="D15" s="604"/>
      <c r="E15" s="1168">
        <f>IF(ISNUMBER(Datos!AQ15),Datos!AQ15," - ")</f>
        <v>3</v>
      </c>
      <c r="F15" s="598">
        <f>IF(ISNUMBER(AF15+AB15-Datos!J15-L15),AF15+AB15-Datos!J15-L15," - ")</f>
        <v>1494</v>
      </c>
      <c r="G15" s="601">
        <f>IF(ISNUMBER(IF(D_I="SI",Datos!I15,Datos!I15+Datos!AC15)),IF(D_I="SI",Datos!I15,Datos!I15+Datos!AC15)," - ")</f>
        <v>1841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5203</v>
      </c>
      <c r="AC15" s="229">
        <f>IF(ISNUMBER(Datos!Q15),Datos!Q15," - ")</f>
        <v>230</v>
      </c>
      <c r="AD15" s="337"/>
      <c r="AE15" s="487"/>
      <c r="AF15" s="599">
        <f>IF(ISNUMBER(IF(D_I="SI",Datos!L15,Datos!L15+Datos!AF15)),IF(D_I="SI",Datos!L15,Datos!L15+Datos!AF15)," - ")</f>
        <v>2174</v>
      </c>
      <c r="AG15" s="337"/>
      <c r="AH15" s="337"/>
      <c r="AI15" s="337"/>
      <c r="AJ15" s="337"/>
      <c r="AK15" s="337"/>
      <c r="AL15" s="482"/>
      <c r="AM15" s="338">
        <f>IF(ISNUMBER(Datos!R15),Datos!R15," - ")</f>
        <v>230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768</v>
      </c>
      <c r="BD15" s="232">
        <f>IF(ISNUMBER(Datos!N15),Datos!N15," - ")</f>
        <v>2652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0.88441271460139381</v>
      </c>
      <c r="BH15" s="263">
        <f>IF(ISNUMBER(((IF(D_I="SI",Datos!L15/Datos!K15,(Datos!L15+Datos!AF15)/(Datos!K15+Datos!AE15)))*11)/factor_trimestre),((IF(D_I="SI",Datos!L15/Datos!K15,(Datos!L15+Datos!AF15)/(Datos!K15+Datos!AE15)))*11)/factor_trimestre," - ")</f>
        <v>4.5961945031712474</v>
      </c>
      <c r="BI15" s="246">
        <f>IF(ISNUMBER('Resol  Asuntos'!D15/NºAsuntos!G15),'Resol  Asuntos'!D15/NºAsuntos!G15," - ")</f>
        <v>0.14760714972131464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495</v>
      </c>
      <c r="AC17" s="229">
        <f>IF(ISNUMBER(Datos!Q17),Datos!Q17," - ")</f>
        <v>0</v>
      </c>
      <c r="AD17" s="337"/>
      <c r="AE17" s="487"/>
      <c r="AF17" s="335">
        <f>IF(ISNUMBER(Datos!L17),Datos!L17,"-")</f>
        <v>183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325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1.0227272727272727</v>
      </c>
      <c r="BH17" s="263">
        <f>IF(ISNUMBER(((IF(D_I="SI",Datos!L17/Datos!K17,(Datos!L17+Datos!AF17)/(Datos!K17+Datos!AE17)))*11)/factor_trimestre),((IF(D_I="SI",Datos!L17/Datos!K17,(Datos!L17+Datos!AF17)/(Datos!K17+Datos!AE17)))*11)/factor_trimestre," - ")</f>
        <v>4.0666666666666664</v>
      </c>
      <c r="BI17" s="246">
        <f>IF(ISNUMBER('Resol  Asuntos'!D17/NºAsuntos!G17),'Resol  Asuntos'!D17/NºAsuntos!G17," - ")</f>
        <v>1.8181818181818181E-2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1494</v>
      </c>
      <c r="G18" s="901">
        <f>SUBTOTAL(9,G15:G17)</f>
        <v>2035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5698</v>
      </c>
      <c r="AC18" s="902">
        <f t="shared" si="4"/>
        <v>230</v>
      </c>
      <c r="AD18" s="902">
        <f t="shared" si="4"/>
        <v>0</v>
      </c>
      <c r="AE18" s="902">
        <f t="shared" si="4"/>
        <v>0</v>
      </c>
      <c r="AF18" s="902">
        <f t="shared" si="4"/>
        <v>2357</v>
      </c>
      <c r="AG18" s="902">
        <f t="shared" si="4"/>
        <v>0</v>
      </c>
      <c r="AH18" s="902">
        <f t="shared" si="4"/>
        <v>0</v>
      </c>
      <c r="AI18" s="902">
        <f t="shared" si="4"/>
        <v>0</v>
      </c>
      <c r="AJ18" s="902">
        <f t="shared" si="4"/>
        <v>0</v>
      </c>
      <c r="AK18" s="902">
        <f t="shared" si="4"/>
        <v>0</v>
      </c>
      <c r="AL18" s="902">
        <f t="shared" si="4"/>
        <v>0</v>
      </c>
      <c r="AM18" s="902">
        <f t="shared" si="4"/>
        <v>230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777</v>
      </c>
      <c r="BD18" s="902">
        <f t="shared" si="4"/>
        <v>2977</v>
      </c>
      <c r="BE18" s="902">
        <f t="shared" si="4"/>
        <v>0</v>
      </c>
      <c r="BF18" s="902">
        <f t="shared" si="4"/>
        <v>0</v>
      </c>
      <c r="BG18" s="902">
        <f>IF(ISNUMBER(Datos!K18/Datos!J18),Datos!K18/Datos!J18," - ")</f>
        <v>0.89492696717449349</v>
      </c>
      <c r="BH18" s="906">
        <f>IF(ISNUMBER(((Datos!L18/Datos!K18)*11)/factor_trimestre),((Datos!L18/Datos!K18)*11)/factor_trimestre," - ")</f>
        <v>4.5501930501930499</v>
      </c>
      <c r="BI18" s="902">
        <f>SUBTOTAL(9,BI15:BI17)</f>
        <v>0.16578896790313283</v>
      </c>
      <c r="BJ18" s="902">
        <f>SUBTOTAL(9,BJ15:BJ17)</f>
        <v>0</v>
      </c>
      <c r="BK18" s="902">
        <f>SUBTOTAL(9,BK15:BK17)</f>
        <v>0</v>
      </c>
      <c r="BL18" s="902">
        <f>IF(ISNUMBER((I18-AB18+L18)/(F18)),(I18-AB18+L18)/(F18)," - ")</f>
        <v>-3.8139223560910307</v>
      </c>
      <c r="BM18" s="908">
        <f>IF(ISNUMBER((Datos!P18-Datos!Q18)/(Datos!R18-Datos!P18+Datos!Q18)),(Datos!P18-Datos!Q18)/(Datos!R18-Datos!P18+Datos!Q18)," - ")</f>
        <v>-0.19580419580419581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9</v>
      </c>
      <c r="F19" s="823">
        <f t="shared" si="6"/>
        <v>1590</v>
      </c>
      <c r="G19" s="823">
        <f t="shared" si="6"/>
        <v>2131</v>
      </c>
      <c r="H19" s="825">
        <f t="shared" si="6"/>
        <v>0</v>
      </c>
      <c r="I19" s="823">
        <f t="shared" si="6"/>
        <v>0</v>
      </c>
      <c r="J19" s="825">
        <f t="shared" si="6"/>
        <v>0</v>
      </c>
      <c r="K19" s="825">
        <f t="shared" si="6"/>
        <v>0</v>
      </c>
      <c r="L19" s="884">
        <f t="shared" si="6"/>
        <v>0</v>
      </c>
      <c r="M19" s="884">
        <f t="shared" si="6"/>
        <v>0</v>
      </c>
      <c r="N19" s="884">
        <f t="shared" si="6"/>
        <v>1130</v>
      </c>
      <c r="O19" s="884">
        <f t="shared" si="6"/>
        <v>0</v>
      </c>
      <c r="P19" s="884">
        <f t="shared" si="6"/>
        <v>0</v>
      </c>
      <c r="Q19" s="825">
        <f t="shared" si="6"/>
        <v>1927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5780</v>
      </c>
      <c r="AC19" s="824">
        <f t="shared" si="7"/>
        <v>2163</v>
      </c>
      <c r="AD19" s="824">
        <f t="shared" si="7"/>
        <v>0</v>
      </c>
      <c r="AE19" s="824">
        <f t="shared" si="7"/>
        <v>0</v>
      </c>
      <c r="AF19" s="831">
        <f t="shared" si="7"/>
        <v>2430</v>
      </c>
      <c r="AG19" s="831">
        <f t="shared" si="7"/>
        <v>0</v>
      </c>
      <c r="AH19" s="831">
        <f t="shared" si="7"/>
        <v>156</v>
      </c>
      <c r="AI19" s="831">
        <f t="shared" si="7"/>
        <v>0</v>
      </c>
      <c r="AJ19" s="824">
        <f t="shared" si="7"/>
        <v>0</v>
      </c>
      <c r="AK19" s="831">
        <f t="shared" si="7"/>
        <v>0</v>
      </c>
      <c r="AL19" s="831">
        <f t="shared" si="7"/>
        <v>0</v>
      </c>
      <c r="AM19" s="831">
        <f t="shared" si="7"/>
        <v>5533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3125</v>
      </c>
      <c r="BD19" s="823">
        <f t="shared" si="7"/>
        <v>6262</v>
      </c>
      <c r="BE19" s="823">
        <f t="shared" si="7"/>
        <v>0</v>
      </c>
      <c r="BF19" s="833">
        <f t="shared" si="7"/>
        <v>0</v>
      </c>
      <c r="BG19" s="918">
        <f>IF(ISNUMBER(Datos!K19/Datos!J19),Datos!K19/Datos!J19," - ")</f>
        <v>0.92659437865601368</v>
      </c>
      <c r="BH19" s="918">
        <f>IF(ISNUMBER(((Datos!L19/Datos!K19)*11)/factor_trimestre),((Datos!L19/Datos!K19)*11)/factor_trimestre," - ")</f>
        <v>5.6731850026945878</v>
      </c>
      <c r="BI19" s="816">
        <f>IF(ISNUMBER(Datos!J19/Datos!I19),Datos!J19/Datos!I19," - ")</f>
        <v>2.3243243243243241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-3.6352201257861636</v>
      </c>
      <c r="BM19" s="892">
        <f>IF(ISNUMBER((Datos!P19-Datos!Q19+R19)/(Datos!R19-Datos!P19+Datos!Q19-R19)),(Datos!P19-Datos!Q19+R19)/(Datos!R19-Datos!P19+Datos!Q19-R19)," - ")</f>
        <v>-4.0908302998786616E-2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2.3452078799117149</v>
      </c>
      <c r="F21" s="554">
        <f>IF(ISNUMBER(STDEV(F8:F18)),STDEV(F8:F18),"-")</f>
        <v>807.1356763270968</v>
      </c>
      <c r="G21" s="555">
        <f>IF(ISNUMBER(STDEV(G8:G18)),STDEV(G8:G18),"-")</f>
        <v>994.18876477256572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2875.3332850297547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957.87245646648739</v>
      </c>
      <c r="BD21" s="554"/>
      <c r="BE21" s="554">
        <f>IF(ISNUMBER(STDEV(BE8:BE18)),STDEV(BE8:BE18),"-")</f>
        <v>0</v>
      </c>
      <c r="BF21" s="559">
        <f>IF(ISNUMBER(STDEV(BF8:BF18)),STDEV(BF8:BF18),"-")</f>
        <v>0</v>
      </c>
      <c r="BG21" s="778">
        <f>IF(ISNUMBER(STDEV(BG8:BG18)),STDEV(BG8:BG18),"-")</f>
        <v>0.73693307345300219</v>
      </c>
      <c r="BH21" s="779">
        <f>IF(ISNUMBER(STDEV(BH8:BH18)),STDEV(BH8:BH18),"-")</f>
        <v>2.0346570272495095</v>
      </c>
      <c r="BI21" s="252">
        <f>IF(ISNUMBER(STDEV(BI8:BI18)),STDEV(BI8:BI18),"-")</f>
        <v>0.10568946993697097</v>
      </c>
      <c r="BJ21" s="233" t="str">
        <f>IF(ISNUMBER(BL21/BM21),BL21/BM21," - ")</f>
        <v xml:space="preserve"> - </v>
      </c>
      <c r="BK21" s="578"/>
      <c r="BL21" s="562">
        <f>IF(ISNUMBER(STDEV(BL8:BL18)),STDEV(BL8:BL18),"-")</f>
        <v>2.0928633186474328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W2FKatjtYJ2Uijdh9cDSZj9hAks9Upd0tmyigg3kPL0Fald/o4bAQt6qpdN6ZweyOGLzIsctptOXqNlXDIAtg==" saltValue="lfQlIxGxOFobWLkyAiIP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LUGO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555</v>
      </c>
      <c r="F5" s="1512" t="s">
        <v>402</v>
      </c>
      <c r="G5" s="1483" t="s">
        <v>128</v>
      </c>
      <c r="H5" s="1483" t="s">
        <v>585</v>
      </c>
      <c r="I5" s="1483" t="s">
        <v>556</v>
      </c>
      <c r="J5" s="1483" t="s">
        <v>678</v>
      </c>
      <c r="K5" s="1483" t="s">
        <v>557</v>
      </c>
      <c r="L5" s="1483" t="s">
        <v>583</v>
      </c>
      <c r="M5" s="1483" t="s">
        <v>679</v>
      </c>
      <c r="N5" s="1483" t="s">
        <v>582</v>
      </c>
      <c r="O5" s="1483" t="s">
        <v>609</v>
      </c>
      <c r="P5" s="1518" t="s">
        <v>671</v>
      </c>
      <c r="Q5" s="1518" t="s">
        <v>673</v>
      </c>
      <c r="R5" s="1483" t="s">
        <v>589</v>
      </c>
      <c r="S5" s="1483" t="s">
        <v>558</v>
      </c>
      <c r="T5" s="1483" t="s">
        <v>766</v>
      </c>
      <c r="U5" s="1483" t="s">
        <v>767</v>
      </c>
      <c r="V5" s="1486" t="s">
        <v>662</v>
      </c>
      <c r="W5" s="1501" t="s">
        <v>571</v>
      </c>
      <c r="X5" s="1504" t="s">
        <v>572</v>
      </c>
      <c r="Y5" s="1480" t="s">
        <v>590</v>
      </c>
      <c r="Z5" s="1480" t="s">
        <v>610</v>
      </c>
      <c r="AA5" s="1483" t="s">
        <v>562</v>
      </c>
      <c r="AB5" s="1483" t="s">
        <v>573</v>
      </c>
      <c r="AC5" s="1483" t="s">
        <v>574</v>
      </c>
      <c r="AD5" s="1483" t="s">
        <v>528</v>
      </c>
      <c r="AE5" s="1483" t="s">
        <v>680</v>
      </c>
      <c r="AF5" s="1483" t="s">
        <v>178</v>
      </c>
      <c r="AG5" s="1483" t="s">
        <v>575</v>
      </c>
      <c r="AH5" s="1483" t="s">
        <v>563</v>
      </c>
      <c r="AI5" s="1483" t="s">
        <v>564</v>
      </c>
      <c r="AJ5" s="1483" t="s">
        <v>576</v>
      </c>
      <c r="AK5" s="1483" t="s">
        <v>577</v>
      </c>
      <c r="AL5" s="1483" t="s">
        <v>578</v>
      </c>
      <c r="AM5" s="1498" t="s">
        <v>579</v>
      </c>
      <c r="AN5" s="1483" t="s">
        <v>245</v>
      </c>
      <c r="AO5" s="1483" t="s">
        <v>566</v>
      </c>
      <c r="AP5" s="1483" t="s">
        <v>567</v>
      </c>
      <c r="AQ5" s="1483" t="s">
        <v>591</v>
      </c>
      <c r="AR5" s="1483" t="s">
        <v>592</v>
      </c>
      <c r="AS5" s="1483" t="s">
        <v>594</v>
      </c>
      <c r="AT5" s="1483" t="s">
        <v>587</v>
      </c>
      <c r="AU5" s="1483" t="s">
        <v>831</v>
      </c>
      <c r="AV5" s="1483" t="s">
        <v>329</v>
      </c>
      <c r="AW5" s="1483" t="s">
        <v>580</v>
      </c>
      <c r="AX5" s="1483" t="s">
        <v>533</v>
      </c>
      <c r="BU5" s="1483" t="s">
        <v>768</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593</v>
      </c>
      <c r="B9" s="504" t="s">
        <v>242</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1723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1911</v>
      </c>
      <c r="AA9" s="335" t="str">
        <f>IF(ISNUMBER(IF(J_V="SI",Datos!L9,Datos!L9+Datos!AB9)-IF(Monitorios="SI",Datos!CD9,0)),
                          IF(J_V="SI",Datos!L9,Datos!L9+Datos!AB9)-IF(Monitorios="SI",Datos!CD9,0),
                          " - ")</f>
        <v xml:space="preserve"> - </v>
      </c>
      <c r="AB9" s="337"/>
      <c r="AC9" s="337"/>
      <c r="AD9" s="487"/>
      <c r="AE9" s="487">
        <f>IF(ISNUMBER(Datos!R9),Datos!R9," - ")</f>
        <v>4846</v>
      </c>
      <c r="AF9" s="232" t="str">
        <f>IF(ISNUMBER(Datos!BV9),Datos!BV9," - ")</f>
        <v xml:space="preserve"> - </v>
      </c>
      <c r="AG9" s="228" t="str">
        <f>IF(ISNUMBER(Datos!DV9),Datos!DV9," - ")</f>
        <v xml:space="preserve"> - </v>
      </c>
      <c r="AH9" s="301"/>
      <c r="AI9" s="230"/>
      <c r="AJ9" s="228">
        <f>IF(ISNUMBER(Datos!M9),Datos!M9," - ")</f>
        <v>2138</v>
      </c>
      <c r="AK9" s="232">
        <f>IF(ISNUMBER(Datos!N9),Datos!N9," - ")</f>
        <v>2681</v>
      </c>
      <c r="AL9" s="232" t="str">
        <f>IF(ISNUMBER(Datos!BW9),Datos!BW9," - ")</f>
        <v xml:space="preserve"> - </v>
      </c>
      <c r="AM9" s="231" t="str">
        <f>IF(ISNUMBER(Datos!BX9),Datos!BX9," - ")</f>
        <v xml:space="preserve"> - </v>
      </c>
      <c r="AN9" s="246"/>
      <c r="AO9" s="263">
        <f>IF(ISNUMBER(((NºAsuntos!I9/NºAsuntos!G9)*11)/factor_trimestre),((NºAsuntos!I9/NºAsuntos!G9)*11)/factor_trimestre," - ")</f>
        <v>6.0441512989635209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-3.7346046881207788E-2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0</v>
      </c>
      <c r="F10" s="228">
        <f>IF(ISNUMBER(Datos!L10+Datos!K10-Datos!J10),Datos!L10+Datos!K10-Datos!J10," - ")</f>
        <v>96</v>
      </c>
      <c r="G10" s="228">
        <f>IF(ISNUMBER(Datos!I10),Datos!I10," - ")</f>
        <v>96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82</v>
      </c>
      <c r="Z10" s="622">
        <f>IF(ISNUMBER(Datos!Q10),Datos!Q10," - ")</f>
        <v>0</v>
      </c>
      <c r="AA10" s="335">
        <f>IF(ISNUMBER(Datos!L10),Datos!L10,"-")</f>
        <v>73</v>
      </c>
      <c r="AB10" s="337"/>
      <c r="AC10" s="337"/>
      <c r="AD10" s="487"/>
      <c r="AE10" s="487">
        <f>IF(ISNUMBER(Datos!R10),Datos!R10," - ")</f>
        <v>53</v>
      </c>
      <c r="AF10" s="232" t="str">
        <f>IF(ISNUMBER(Datos!BV10),Datos!BV10," - ")</f>
        <v xml:space="preserve"> - </v>
      </c>
      <c r="AG10" s="228" t="str">
        <f>IF(ISNUMBER(Datos!DV10),Datos!DV10," - ")</f>
        <v xml:space="preserve"> - </v>
      </c>
      <c r="AH10" s="301"/>
      <c r="AI10" s="230"/>
      <c r="AJ10" s="228">
        <f>IF(ISNUMBER(Datos!M10),Datos!M10," - ")</f>
        <v>52</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9.7926829268292686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0.15217391304347827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242</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v>
      </c>
      <c r="AA11" s="335" t="str">
        <f>IF(ISNUMBER(IF(J_V="SI",Datos!L11,Datos!L11+Datos!AB11)-IF(Monitorios="SI",Datos!CD11,0)),
                          IF(J_V="SI",Datos!L11,Datos!L11+Datos!AB11)-IF(Monitorios="SI",Datos!CD11,0),
                          " - ")</f>
        <v xml:space="preserve"> - </v>
      </c>
      <c r="AB11" s="337"/>
      <c r="AC11" s="337"/>
      <c r="AD11" s="487"/>
      <c r="AE11" s="487">
        <f>IF(ISNUMBER(Datos!R11),Datos!R11," - ")</f>
        <v>17</v>
      </c>
      <c r="AF11" s="232" t="str">
        <f>IF(ISNUMBER(Datos!BV11),Datos!BV11," - ")</f>
        <v xml:space="preserve"> - </v>
      </c>
      <c r="AG11" s="228" t="str">
        <f>IF(ISNUMBER(Datos!DV11),Datos!DV11," - ")</f>
        <v xml:space="preserve"> - </v>
      </c>
      <c r="AH11" s="301"/>
      <c r="AI11" s="230"/>
      <c r="AJ11" s="228">
        <f>IF(ISNUMBER(Datos!M11),Datos!M11," - ")</f>
        <v>158</v>
      </c>
      <c r="AK11" s="232">
        <f>IF(ISNUMBER(Datos!N11),Datos!N11," - ")</f>
        <v>581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3.7850655903128154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v>
      </c>
      <c r="AA12" s="335" t="str">
        <f>IF(ISNUMBER(IF(J_V="SI",Datos!L12,Datos!L12+Datos!AB12)-IF(Monitorios="SI",Datos!CD12,0)),
                          IF(J_V="SI",Datos!L12,Datos!L12+Datos!AB12)-IF(Monitorios="SI",Datos!CD12,0),
                          " - ")</f>
        <v xml:space="preserve"> - </v>
      </c>
      <c r="AB12" s="337"/>
      <c r="AC12" s="337"/>
      <c r="AD12" s="487"/>
      <c r="AE12" s="487">
        <f>IF(ISNUMBER(Datos!R12),Datos!R12," - ")</f>
        <v>387</v>
      </c>
      <c r="AF12" s="232" t="str">
        <f>IF(ISNUMBER(Datos!BV12),Datos!BV12," - ")</f>
        <v xml:space="preserve"> - </v>
      </c>
      <c r="AG12" s="228" t="str">
        <f>IF(ISNUMBER(Datos!DV12),Datos!DV12," - ")</f>
        <v xml:space="preserve"> - </v>
      </c>
      <c r="AH12" s="301"/>
      <c r="AI12" s="230"/>
      <c r="AJ12" s="228">
        <f>IF(ISNUMBER(Datos!M12),Datos!M12," - ")</f>
        <v>0</v>
      </c>
      <c r="AK12" s="232">
        <f>IF(ISNUMBER(Datos!N12),Datos!N12," - ")</f>
        <v>16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7.333333333333333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-4.2079207920792082E-2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96</v>
      </c>
      <c r="G13" s="901">
        <f>SUBTOTAL(9,G8:G12)</f>
        <v>96</v>
      </c>
      <c r="H13" s="911"/>
      <c r="I13" s="901">
        <f t="shared" ref="I13:N13" si="0">SUBTOTAL(9,I8:I12)</f>
        <v>0</v>
      </c>
      <c r="J13" s="870">
        <f t="shared" si="0"/>
        <v>0</v>
      </c>
      <c r="K13" s="911">
        <f t="shared" si="0"/>
        <v>0</v>
      </c>
      <c r="L13" s="911">
        <f t="shared" si="0"/>
        <v>0</v>
      </c>
      <c r="M13" s="911">
        <f t="shared" si="0"/>
        <v>0</v>
      </c>
      <c r="N13" s="911">
        <f t="shared" si="0"/>
        <v>1753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82</v>
      </c>
      <c r="Z13" s="910">
        <f t="shared" si="2"/>
        <v>1933</v>
      </c>
      <c r="AA13" s="903">
        <f t="shared" si="2"/>
        <v>73</v>
      </c>
      <c r="AB13" s="903">
        <f t="shared" si="2"/>
        <v>0</v>
      </c>
      <c r="AC13" s="903">
        <f t="shared" si="2"/>
        <v>0</v>
      </c>
      <c r="AD13" s="903">
        <f t="shared" si="2"/>
        <v>0</v>
      </c>
      <c r="AE13" s="903">
        <f t="shared" si="2"/>
        <v>5303</v>
      </c>
      <c r="AF13" s="911">
        <f t="shared" si="2"/>
        <v>0</v>
      </c>
      <c r="AG13" s="911">
        <f t="shared" si="2"/>
        <v>0</v>
      </c>
      <c r="AH13" s="911">
        <f t="shared" si="2"/>
        <v>0</v>
      </c>
      <c r="AI13" s="911">
        <f t="shared" si="2"/>
        <v>0</v>
      </c>
      <c r="AJ13" s="911">
        <f t="shared" si="2"/>
        <v>2348</v>
      </c>
      <c r="AK13" s="911">
        <f t="shared" si="2"/>
        <v>3285</v>
      </c>
      <c r="AL13" s="911">
        <f t="shared" si="2"/>
        <v>0</v>
      </c>
      <c r="AM13" s="911">
        <f t="shared" si="2"/>
        <v>0</v>
      </c>
      <c r="AN13" s="911">
        <f t="shared" si="2"/>
        <v>0</v>
      </c>
      <c r="AO13" s="907">
        <f>IF(ISNUMBER(((NºAsuntos!I13/NºAsuntos!G13)*11)/factor_trimestre),((NºAsuntos!I13/NºAsuntos!G13)*11)/factor_trimestre," - ")</f>
        <v>5.8175191064079952</v>
      </c>
      <c r="AP13" s="913" t="str">
        <f>IF(ISNUMBER(Datos!CI13/Datos!CJ13),Datos!CI13/Datos!CJ13," - ")</f>
        <v xml:space="preserve"> - </v>
      </c>
      <c r="AQ13" s="931">
        <f t="shared" ref="AQ13:AV13" si="3">SUBTOTAL(9,AQ9:AQ12)</f>
        <v>0</v>
      </c>
      <c r="AR13" s="931">
        <f t="shared" si="3"/>
        <v>-17.927251341758524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392</v>
      </c>
      <c r="C15" s="163" t="str">
        <f>Datos!A15</f>
        <v xml:space="preserve">Jdos. Instrucción                               </v>
      </c>
      <c r="D15" s="505"/>
      <c r="E15" s="1171">
        <f>IF(ISNUMBER(Datos!AQ15),Datos!AQ15," - ")</f>
        <v>3</v>
      </c>
      <c r="F15" s="336">
        <f>IF(ISNUMBER(AA15+Y15-Datos!J15-K15),AA15+Y15-Datos!J15-K15," - ")</f>
        <v>1494</v>
      </c>
      <c r="G15" s="228">
        <f>IF(ISNUMBER(IF(D_I="SI",Datos!I15,Datos!I15+Datos!AC15)),IF(D_I="SI",Datos!I15,Datos!I15+Datos!AC15)," - ")</f>
        <v>1841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5203</v>
      </c>
      <c r="Z15" s="622">
        <f>IF(ISNUMBER(Datos!Q15),Datos!Q15," - ")</f>
        <v>230</v>
      </c>
      <c r="AA15" s="335">
        <f>IF(ISNUMBER(IF(D_I="SI",Datos!L15,Datos!L15+Datos!AF15)),IF(D_I="SI",Datos!L15,Datos!L15+Datos!AF15)," - ")</f>
        <v>2174</v>
      </c>
      <c r="AB15" s="337"/>
      <c r="AC15" s="337"/>
      <c r="AD15" s="487"/>
      <c r="AE15" s="487">
        <f>IF(ISNUMBER(Datos!R15),Datos!R15," - ")</f>
        <v>230</v>
      </c>
      <c r="AF15" s="232" t="str">
        <f>IF(ISNUMBER(Datos!BV15),Datos!BV15," - ")</f>
        <v xml:space="preserve"> - </v>
      </c>
      <c r="AG15" s="228"/>
      <c r="AH15" s="301"/>
      <c r="AI15" s="230"/>
      <c r="AJ15" s="228">
        <f>IF(ISNUMBER(Datos!M15),Datos!M15," - ")</f>
        <v>768</v>
      </c>
      <c r="AK15" s="232">
        <f>IF(ISNUMBER(Datos!N15),Datos!N15," - ")</f>
        <v>2652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4.5961945031712474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495</v>
      </c>
      <c r="Z17" s="622">
        <f>IF(ISNUMBER(Datos!Q17),Datos!Q17," - ")</f>
        <v>0</v>
      </c>
      <c r="AA17" s="335">
        <f>IF(ISNUMBER(Datos!L17),Datos!L17,"-")</f>
        <v>183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325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4.0666666666666664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1494</v>
      </c>
      <c r="G18" s="901">
        <f>SUBTOTAL(9,G15:G17)</f>
        <v>2035</v>
      </c>
      <c r="H18" s="935">
        <f>SUBTOTAL(9,H15:H17)</f>
        <v>0</v>
      </c>
      <c r="I18" s="914">
        <f>SUBTOTAL(9,I15:I17)</f>
        <v>0</v>
      </c>
      <c r="J18" s="870">
        <f>SUBTOTAL(9,J14:J17)</f>
        <v>0</v>
      </c>
      <c r="K18" s="935">
        <f t="shared" ref="K18:S18" si="4">SUBTOTAL(9,K15:K17)</f>
        <v>0</v>
      </c>
      <c r="L18" s="935">
        <f t="shared" si="4"/>
        <v>0</v>
      </c>
      <c r="M18" s="935">
        <f t="shared" si="4"/>
        <v>0</v>
      </c>
      <c r="N18" s="935">
        <f t="shared" si="4"/>
        <v>174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5698</v>
      </c>
      <c r="Z18" s="935">
        <f t="shared" si="5"/>
        <v>230</v>
      </c>
      <c r="AA18" s="935">
        <f t="shared" si="5"/>
        <v>2357</v>
      </c>
      <c r="AB18" s="935">
        <f t="shared" si="5"/>
        <v>0</v>
      </c>
      <c r="AC18" s="935">
        <f t="shared" si="5"/>
        <v>0</v>
      </c>
      <c r="AD18" s="935">
        <f t="shared" si="5"/>
        <v>0</v>
      </c>
      <c r="AE18" s="935">
        <f t="shared" si="5"/>
        <v>230</v>
      </c>
      <c r="AF18" s="935">
        <f t="shared" si="5"/>
        <v>0</v>
      </c>
      <c r="AG18" s="935">
        <f t="shared" si="5"/>
        <v>0</v>
      </c>
      <c r="AH18" s="935">
        <f t="shared" si="5"/>
        <v>0</v>
      </c>
      <c r="AI18" s="935">
        <f t="shared" si="5"/>
        <v>0</v>
      </c>
      <c r="AJ18" s="935">
        <f t="shared" si="5"/>
        <v>777</v>
      </c>
      <c r="AK18" s="935">
        <f t="shared" si="5"/>
        <v>2977</v>
      </c>
      <c r="AL18" s="935">
        <f t="shared" si="5"/>
        <v>0</v>
      </c>
      <c r="AM18" s="935">
        <f t="shared" si="5"/>
        <v>0</v>
      </c>
      <c r="AN18" s="935">
        <f t="shared" si="5"/>
        <v>0</v>
      </c>
      <c r="AO18" s="937">
        <f>IF(ISNUMBER(((NºAsuntos!I18/NºAsuntos!G18)*11)/factor_trimestre),((NºAsuntos!I18/NºAsuntos!G18)*11)/factor_trimestre," - ")</f>
        <v>4.5501930501930499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1590</v>
      </c>
      <c r="G19" s="823">
        <f t="shared" si="7"/>
        <v>2131</v>
      </c>
      <c r="H19" s="824">
        <f t="shared" si="7"/>
        <v>0</v>
      </c>
      <c r="I19" s="823">
        <f t="shared" si="7"/>
        <v>0</v>
      </c>
      <c r="J19" s="825">
        <f t="shared" si="7"/>
        <v>0</v>
      </c>
      <c r="K19" s="823">
        <f t="shared" si="7"/>
        <v>0</v>
      </c>
      <c r="L19" s="826">
        <f t="shared" si="7"/>
        <v>0</v>
      </c>
      <c r="M19" s="823">
        <f t="shared" si="7"/>
        <v>0</v>
      </c>
      <c r="N19" s="824">
        <f t="shared" si="7"/>
        <v>1927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5780</v>
      </c>
      <c r="Z19" s="830">
        <f t="shared" si="8"/>
        <v>2163</v>
      </c>
      <c r="AA19" s="831">
        <f t="shared" si="8"/>
        <v>2430</v>
      </c>
      <c r="AB19" s="831">
        <f t="shared" si="8"/>
        <v>0</v>
      </c>
      <c r="AC19" s="831">
        <f t="shared" si="8"/>
        <v>0</v>
      </c>
      <c r="AD19" s="832">
        <f t="shared" si="8"/>
        <v>0</v>
      </c>
      <c r="AE19" s="832">
        <f t="shared" si="8"/>
        <v>5533</v>
      </c>
      <c r="AF19" s="833">
        <f t="shared" si="8"/>
        <v>0</v>
      </c>
      <c r="AG19" s="834">
        <f t="shared" si="8"/>
        <v>0</v>
      </c>
      <c r="AH19" s="835">
        <f t="shared" si="8"/>
        <v>0</v>
      </c>
      <c r="AI19" s="833">
        <f t="shared" si="8"/>
        <v>0</v>
      </c>
      <c r="AJ19" s="823">
        <f t="shared" si="8"/>
        <v>3125</v>
      </c>
      <c r="AK19" s="823">
        <f t="shared" si="8"/>
        <v>6262</v>
      </c>
      <c r="AL19" s="823">
        <f t="shared" si="8"/>
        <v>0</v>
      </c>
      <c r="AM19" s="836">
        <f t="shared" si="8"/>
        <v>0</v>
      </c>
      <c r="AN19" s="826">
        <f>IF(ISNUMBER(Datos!K19/Datos!J19),Datos!K19/Datos!J19," - ")</f>
        <v>0.92659437865601368</v>
      </c>
      <c r="AO19" s="826">
        <f>IF(ISNUMBER(FIND("06",Criterios!A8,1)),(IF(ISNUMBER(((Datos!R19/Datos!Q19)*11)/factor_trimestre),((Datos!R19/Datos!Q19)*11)/factor_trimestre," - ")),(IF(ISNUMBER(((Datos!L19/Datos!K19)*11)/factor_trimestre),((Datos!L19/Datos!K19)*11)/factor_trimestre," - ")))</f>
        <v>5.6731850026945878</v>
      </c>
      <c r="AP19" s="837" t="str">
        <f>IF(ISNUMBER(Datos!CI19/Datos!CJ19),Datos!CI19/Datos!CJ19," - ")</f>
        <v xml:space="preserve"> - </v>
      </c>
      <c r="AQ19" s="837">
        <f>IF(OR(ISNUMBER(FIND("01",Criterios!A8,1)),ISNUMBER(FIND("02",Criterios!A8,1)),ISNUMBER(FIND("03",Criterios!A8,1)),ISNUMBER(FIND("04",Criterios!A8,1))),(J19-Y19+K19)/(F19-K19),(I19-Y19+K19)/(F19-K19))</f>
        <v>-3.6352201257861636</v>
      </c>
      <c r="AR19" s="837">
        <f>IF(ISNUMBER((Datos!P19-Datos!Q19+O19)/(Datos!R19-Datos!P19+Datos!Q19-O19)),(Datos!P19-Datos!Q19+O19)/(Datos!R19-Datos!P19+Datos!Q19-O19)," - ")</f>
        <v>-4.0908302998786616E-2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807.1356763270968</v>
      </c>
      <c r="G21" s="555">
        <f>IF(ISNUMBER(STDEV(G8:G18)),STDEV(G8:G18),"-")</f>
        <v>994.18876477256572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957.87245646648739</v>
      </c>
      <c r="AK21" s="255"/>
      <c r="AL21" s="255">
        <f>IF(ISNUMBER(STDEV(AL8:AL18)),STDEV(AL8:AL18),"-")</f>
        <v>0</v>
      </c>
      <c r="AM21" s="257">
        <f>IF(ISNUMBER(STDEV(AM8:AM18)),STDEV(AM8:AM18),"-")</f>
        <v>0</v>
      </c>
      <c r="AN21" s="542">
        <f>IF(ISNUMBER(STDEV(AN8:AN18)),STDEV(AN8:AN18),"-")</f>
        <v>0</v>
      </c>
      <c r="AO21" s="543">
        <f>IF(ISNUMBER(STDEV(AO8:AO18)),STDEV(AO8:AO18),"-")</f>
        <v>2.0144715901453281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k9776NBvG0IaY/N1lvsHeE39zmmRZBN6rLRIeRa95m7DHdYajICHVR6LHSftVHege6BE2wLbuLWXzOaYFzIjA==" saltValue="L8Qco7kQEapyJ+IGEism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623</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624</v>
      </c>
      <c r="B4" s="1531" t="s">
        <v>728</v>
      </c>
      <c r="C4" s="1531" t="s">
        <v>625</v>
      </c>
      <c r="D4" s="1531" t="s">
        <v>686</v>
      </c>
      <c r="E4" s="1533" t="s">
        <v>687</v>
      </c>
      <c r="F4" s="1531" t="s">
        <v>626</v>
      </c>
      <c r="G4" s="1533" t="s">
        <v>448</v>
      </c>
      <c r="H4" s="1526" t="s">
        <v>627</v>
      </c>
      <c r="I4" s="1526" t="s">
        <v>628</v>
      </c>
      <c r="J4" s="1526" t="s">
        <v>629</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h6ILiBKWmqniqHtuYcjqW0kKE6GCM0Uo4e2PG+sn2eo3tktDJ4gB+DNePpowCxh4UpOwqcj4A1QZhXK9NSfPhQ==" saltValue="1AzlDygCLOHVTDyCLoyu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750</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50" t="s">
        <v>746</v>
      </c>
      <c r="ER8" s="50" t="s">
        <v>751</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Wbbool1MKEVnzOstitzi0mHvRLWQg9Be/uiEzc5Cdgl/haTYbLUMvZB3JtLW7hMjcJthLMDp1lKlFRfeoTIQ==" saltValue="3jYWR/h+ng7Qt5v/lDRv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LUGO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557</v>
      </c>
      <c r="L5" s="1483" t="s">
        <v>525</v>
      </c>
      <c r="M5" s="1515" t="s">
        <v>583</v>
      </c>
      <c r="N5" s="1483" t="s">
        <v>714</v>
      </c>
      <c r="O5" s="1483" t="s">
        <v>674</v>
      </c>
      <c r="P5" s="1483" t="s">
        <v>164</v>
      </c>
      <c r="Q5" s="1518" t="s">
        <v>671</v>
      </c>
      <c r="R5" s="1518" t="s">
        <v>715</v>
      </c>
      <c r="S5" s="1483" t="s">
        <v>586</v>
      </c>
      <c r="T5" s="1518" t="s">
        <v>558</v>
      </c>
      <c r="U5" s="1518" t="s">
        <v>766</v>
      </c>
      <c r="V5" s="1518" t="s">
        <v>767</v>
      </c>
      <c r="W5" s="1501" t="s">
        <v>608</v>
      </c>
      <c r="X5" s="1504" t="s">
        <v>559</v>
      </c>
      <c r="Y5" s="1501" t="s">
        <v>560</v>
      </c>
      <c r="Z5" s="1501" t="s">
        <v>561</v>
      </c>
      <c r="AA5" s="1483" t="s">
        <v>675</v>
      </c>
      <c r="AB5" s="1483" t="s">
        <v>680</v>
      </c>
      <c r="AC5" s="1483" t="s">
        <v>178</v>
      </c>
      <c r="AD5" s="1489" t="s">
        <v>176</v>
      </c>
      <c r="AE5" s="1483" t="s">
        <v>676</v>
      </c>
      <c r="AF5" s="1492" t="s">
        <v>677</v>
      </c>
      <c r="AG5" s="1495" t="s">
        <v>534</v>
      </c>
      <c r="AH5" s="1483" t="s">
        <v>535</v>
      </c>
      <c r="AI5" s="1483" t="s">
        <v>606</v>
      </c>
      <c r="AJ5" s="1498" t="s">
        <v>607</v>
      </c>
      <c r="AK5" s="1495" t="s">
        <v>179</v>
      </c>
      <c r="AL5" s="1483" t="s">
        <v>565</v>
      </c>
      <c r="AM5" s="1483" t="s">
        <v>243</v>
      </c>
      <c r="AN5" s="1483" t="s">
        <v>244</v>
      </c>
      <c r="AO5" s="1483" t="s">
        <v>245</v>
      </c>
      <c r="AP5" s="1483" t="s">
        <v>566</v>
      </c>
      <c r="AQ5" s="1483" t="s">
        <v>246</v>
      </c>
      <c r="AR5" s="1483" t="s">
        <v>567</v>
      </c>
      <c r="AS5" s="1483" t="s">
        <v>568</v>
      </c>
      <c r="AT5" s="1483" t="s">
        <v>569</v>
      </c>
      <c r="AU5" s="1483" t="s">
        <v>594</v>
      </c>
      <c r="AV5" s="1483" t="s">
        <v>587</v>
      </c>
      <c r="AW5" s="1483" t="s">
        <v>831</v>
      </c>
      <c r="AX5" s="1483" t="s">
        <v>834</v>
      </c>
      <c r="AY5" s="1483" t="s">
        <v>836</v>
      </c>
      <c r="AZ5" s="1483" t="s">
        <v>588</v>
      </c>
      <c r="BA5" s="1483" t="s">
        <v>856</v>
      </c>
      <c r="BB5" s="1483" t="s">
        <v>570</v>
      </c>
      <c r="BC5" s="1483" t="s">
        <v>533</v>
      </c>
      <c r="BW5" s="1483" t="s">
        <v>768</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0.27607289829512049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0.19521301848630376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3ok0rmclOtglnUtMPb8T4iDQ12FeqQeit6SWAAvnYUdZE1B31Uu9aqsc5oEcC+df9ITd4WUcSj+pfBAjRgbQ==" saltValue="UrrCsjMi3RcyLlgxf3rG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2mHi5m95LkBQZ4EGjB22rTRguNYeobNq2QPMs4SFBYgO8eLzlnvBzM3c6vsUww+bp+t0iEqy7RlxTm+E+MXRAg==" saltValue="NMaH468Qk26S2qMIe2SI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LUGO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744</v>
      </c>
      <c r="L5" s="1182" t="s">
        <v>790</v>
      </c>
      <c r="M5" s="1182" t="s">
        <v>852</v>
      </c>
      <c r="N5" s="1185" t="s">
        <v>743</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738</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4129</v>
      </c>
      <c r="D9" s="407">
        <f>IF(ISNUMBER(C9/Datos!BH9),C9/Datos!BH9," - ")</f>
        <v>825.8</v>
      </c>
      <c r="E9" s="406">
        <f>IF(ISNUMBER(IF(J_V="SI",Datos!J9,Datos!J9+Datos!Z9)),IF(J_V="SI",Datos!J9,Datos!J9+Datos!Z9)," - ")</f>
        <v>7378</v>
      </c>
      <c r="F9" s="407">
        <f>IF(ISNUMBER(E9/B9),E9/B9," - ")</f>
        <v>1475.6</v>
      </c>
      <c r="G9" s="406">
        <f>IF(ISNUMBER(IF(J_V="SI",Datos!K9,Datos!K9+Datos!AA9)),IF(J_V="SI",Datos!K9,Datos!K9+Datos!AA9)," - ")</f>
        <v>7429</v>
      </c>
      <c r="H9" s="407">
        <f>IF(ISNUMBER(G9/B9),G9/B9," - ")</f>
        <v>1485.8</v>
      </c>
      <c r="I9" s="406">
        <f>IF(ISNUMBER(IF(J_V="SI",Datos!L9,Datos!L9+Datos!AB9)),IF(J_V="SI",Datos!L9,Datos!L9+Datos!AB9)," - ")</f>
        <v>4082</v>
      </c>
      <c r="J9" s="407">
        <f>IF(ISNUMBER(I9/B9),I9/B9," - ")</f>
        <v>816.4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96</v>
      </c>
      <c r="D10" s="407">
        <f>IF(ISNUMBER(C10/Datos!BH10),C10/Datos!BH10," - ")</f>
        <v>96</v>
      </c>
      <c r="E10" s="406">
        <f>IF(ISNUMBER(Datos!J10),Datos!J10," - ")</f>
        <v>59</v>
      </c>
      <c r="F10" s="407">
        <f>IF(ISNUMBER(E10/B10),E10/B10," - ")</f>
        <v>59</v>
      </c>
      <c r="G10" s="406">
        <f>IF(ISNUMBER(Datos!K10),Datos!K10," - ")</f>
        <v>82</v>
      </c>
      <c r="H10" s="407">
        <f>IF(ISNUMBER(G10/B10),G10/B10," - ")</f>
        <v>82</v>
      </c>
      <c r="I10" s="406">
        <f>IF(ISNUMBER(Datos!L10),Datos!L10," - ")</f>
        <v>73</v>
      </c>
      <c r="J10" s="407">
        <f>IF(ISNUMBER(I10/B10),I10/B10," - ")</f>
        <v>73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0</v>
      </c>
      <c r="D11" s="407" t="str">
        <f>IF(ISNUMBER(C11/Datos!BH11),C11/Datos!BH11," - ")</f>
        <v xml:space="preserve"> - </v>
      </c>
      <c r="E11" s="406">
        <f>IF(ISNUMBER(IF(J_V="SI",Datos!J11,Datos!J11+Datos!Z11)),IF(J_V="SI",Datos!J11,Datos!J11+Datos!Z11)," - ")</f>
        <v>1343</v>
      </c>
      <c r="F11" s="407">
        <f>IF(ISNUMBER(E11/B11),E11/B11," - ")</f>
        <v>1343</v>
      </c>
      <c r="G11" s="406">
        <f>IF(ISNUMBER(IF(J_V="SI",Datos!K11,Datos!K11+Datos!AA11)),IF(J_V="SI",Datos!K11,Datos!K11+Datos!AA11)," - ")</f>
        <v>991</v>
      </c>
      <c r="H11" s="407">
        <f>IF(ISNUMBER(G11/B11),G11/B11," - ")</f>
        <v>991</v>
      </c>
      <c r="I11" s="406">
        <f>IF(ISNUMBER(IF(J_V="SI",Datos!L11,Datos!L11+Datos!AB11)),IF(J_V="SI",Datos!L11,Datos!L11+Datos!AB11)," - ")</f>
        <v>341</v>
      </c>
      <c r="J11" s="407">
        <f>IF(ISNUMBER(I11/B11),I11/B11," - ")</f>
        <v>341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14</v>
      </c>
      <c r="D12" s="407" t="str">
        <f>IF(ISNUMBER(C12/Datos!BH12),C12/Datos!BH12," - ")</f>
        <v xml:space="preserve"> - </v>
      </c>
      <c r="E12" s="406">
        <f>IF(ISNUMBER(IF(J_V="SI",Datos!J12,Datos!J12+Datos!Z12)),IF(J_V="SI",Datos!J12,Datos!J12+Datos!Z12)," - ")</f>
        <v>1</v>
      </c>
      <c r="F12" s="407" t="str">
        <f>IF(ISNUMBER(E12/B12),E12/B12," - ")</f>
        <v xml:space="preserve"> - </v>
      </c>
      <c r="G12" s="406">
        <f>IF(ISNUMBER(IF(J_V="SI",Datos!K12,Datos!K12+Datos!AA12)),IF(J_V="SI",Datos!K12,Datos!K12+Datos!AA12)," - ")</f>
        <v>3</v>
      </c>
      <c r="H12" s="407" t="str">
        <f>IF(ISNUMBER(G12/B12),G12/B12," - ")</f>
        <v xml:space="preserve"> - </v>
      </c>
      <c r="I12" s="406">
        <f>IF(ISNUMBER(IF(J_V="SI",Datos!L12,Datos!L12+Datos!AB12)),IF(J_V="SI",Datos!L12,Datos!L12+Datos!AB12)," - ")</f>
        <v>2</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4239</v>
      </c>
      <c r="D13" s="853" t="str">
        <f>IF(ISNUMBER(C13/Datos!BI13),C13/Datos!BI13," - ")</f>
        <v xml:space="preserve"> - </v>
      </c>
      <c r="E13" s="852">
        <f>SUBTOTAL(9,E8:E12)</f>
        <v>8781</v>
      </c>
      <c r="F13" s="853">
        <f>IF(ISNUMBER(E13/B13),E13/B13," - ")</f>
        <v>1463.5</v>
      </c>
      <c r="G13" s="852">
        <f>SUBTOTAL(9,G8:G12)</f>
        <v>8505</v>
      </c>
      <c r="H13" s="853">
        <f>IF(ISNUMBER(G13/B13),G13/B13," - ")</f>
        <v>1417.5</v>
      </c>
      <c r="I13" s="852">
        <f>SUBTOTAL(9,I8:I12)</f>
        <v>4498</v>
      </c>
      <c r="J13" s="853">
        <f>IF(ISNUMBER(I13/B13),I13/B13," - ")</f>
        <v>749.66666666666663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1841</v>
      </c>
      <c r="D15" s="407">
        <f>IF(ISNUMBER(C15/Datos!BH15),C15/Datos!BH15," - ")</f>
        <v>613.66666666666663</v>
      </c>
      <c r="E15" s="406">
        <f>IF(ISNUMBER(IF(D_I="SI",Datos!J15,Datos!J15+Datos!AD15)),IF(D_I="SI",Datos!J15,Datos!J15+Datos!AD15)," - ")</f>
        <v>5883</v>
      </c>
      <c r="F15" s="407">
        <f>IF(ISNUMBER(E15/B15),E15/B15," - ")</f>
        <v>1961</v>
      </c>
      <c r="G15" s="406">
        <f>IF(ISNUMBER(IF(D_I="SI",Datos!K15,Datos!K15+Datos!AE15)),IF(D_I="SI",Datos!K15,Datos!K15+Datos!AE15)," - ")</f>
        <v>5203</v>
      </c>
      <c r="H15" s="407">
        <f>IF(ISNUMBER(G15/B15),G15/B15," - ")</f>
        <v>1734.3333333333333</v>
      </c>
      <c r="I15" s="406">
        <f>IF(ISNUMBER(IF(D_I="SI",Datos!L15,Datos!L15+Datos!AF15)),IF(D_I="SI",Datos!L15,Datos!L15+Datos!AF15)," - ")</f>
        <v>2174</v>
      </c>
      <c r="J15" s="407">
        <f>IF(ISNUMBER(I15/B15),I15/B15," - ")</f>
        <v>724.66666666666663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194</v>
      </c>
      <c r="D17" s="407">
        <f>IF(ISNUMBER(C17/Datos!BH17),C17/Datos!BH17," - ")</f>
        <v>194</v>
      </c>
      <c r="E17" s="406">
        <f>IF(ISNUMBER(IF(D_I="SI",Datos!J17,Datos!J17+Datos!AD17)),IF(D_I="SI",Datos!J17,Datos!J17+Datos!AD17)," - ")</f>
        <v>484</v>
      </c>
      <c r="F17" s="407">
        <f>IF(ISNUMBER(E17/B17),E17/B17," - ")</f>
        <v>484</v>
      </c>
      <c r="G17" s="406">
        <f>IF(ISNUMBER(IF(D_I="SI",Datos!K17,Datos!K17+Datos!AE17)),IF(D_I="SI",Datos!K17,Datos!K17+Datos!AE17)," - ")</f>
        <v>495</v>
      </c>
      <c r="H17" s="407">
        <f>IF(ISNUMBER(G17/B17),G17/B17," - ")</f>
        <v>495</v>
      </c>
      <c r="I17" s="406">
        <f>IF(ISNUMBER(IF(D_I="SI",Datos!L17,Datos!L17+Datos!AF17)),IF(D_I="SI",Datos!L17,Datos!L17+Datos!AF17)," - ")</f>
        <v>183</v>
      </c>
      <c r="J17" s="407">
        <f>IF(ISNUMBER(I17/B17),I17/B17," - ")</f>
        <v>183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2035</v>
      </c>
      <c r="D18" s="853" t="str">
        <f>IF(ISNUMBER(C18/Datos!BI18),C18/Datos!BI18," - ")</f>
        <v xml:space="preserve"> - </v>
      </c>
      <c r="E18" s="852">
        <f>SUBTOTAL(9,E14:E17)</f>
        <v>6367</v>
      </c>
      <c r="F18" s="853">
        <f>IF(ISNUMBER(E18/B18),E18/B18," - ")</f>
        <v>2122.3333333333335</v>
      </c>
      <c r="G18" s="852">
        <f>SUBTOTAL(9,G14:G17)</f>
        <v>5698</v>
      </c>
      <c r="H18" s="853">
        <f>IF(ISNUMBER(G18/B18),G18/B18," - ")</f>
        <v>1899.3333333333333</v>
      </c>
      <c r="I18" s="852">
        <f>SUBTOTAL(9,I14:I17)</f>
        <v>2357</v>
      </c>
      <c r="J18" s="853">
        <f>IF(ISNUMBER(I18/B18),I18/B18," - ")</f>
        <v>785.66666666666663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6274</v>
      </c>
      <c r="D19" s="798" t="str">
        <f>IF(ISNUMBER(C19/Datos!BI19),C19/Datos!BI19," - ")</f>
        <v xml:space="preserve"> - </v>
      </c>
      <c r="E19" s="797">
        <f>SUBTOTAL(9,E9:E18)</f>
        <v>15148</v>
      </c>
      <c r="F19" s="798">
        <f>IF(ISNUMBER(E19/B19),E19/B19," - ")</f>
        <v>1683.1111111111111</v>
      </c>
      <c r="G19" s="797">
        <f>SUBTOTAL(9,G9:G18)</f>
        <v>14203</v>
      </c>
      <c r="H19" s="798">
        <f>IF(ISNUMBER(G19/B19),G19/B19," - ")</f>
        <v>1578.1111111111111</v>
      </c>
      <c r="I19" s="797">
        <f>SUBTOTAL(9,I9:I18)</f>
        <v>6855</v>
      </c>
      <c r="J19" s="798">
        <f>IF(ISNUMBER(I19/B19),I19/B19," - ")</f>
        <v>761.66666666666663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pWKdgOc5Q1PxzjA7fVaHFMNnlcm/QHxj1m0t/cD7EalN8buGyfxgODUcZCRjNRMHRB1skoP3ecUlMN7iTatBw==" saltValue="tabSxBJYBUmxv+XV7ezj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LUGO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555</v>
      </c>
      <c r="F5" s="1512" t="s">
        <v>402</v>
      </c>
      <c r="G5" s="1483" t="s">
        <v>128</v>
      </c>
      <c r="H5" s="1483" t="s">
        <v>688</v>
      </c>
      <c r="I5" s="1483" t="s">
        <v>689</v>
      </c>
      <c r="J5" s="1483" t="s">
        <v>692</v>
      </c>
      <c r="K5" s="1483" t="s">
        <v>693</v>
      </c>
      <c r="L5" s="1483" t="s">
        <v>583</v>
      </c>
      <c r="M5" s="1483" t="s">
        <v>714</v>
      </c>
      <c r="N5" s="1483" t="s">
        <v>694</v>
      </c>
      <c r="O5" s="1483" t="s">
        <v>690</v>
      </c>
      <c r="P5" s="1483" t="s">
        <v>164</v>
      </c>
      <c r="Q5" s="1483" t="s">
        <v>671</v>
      </c>
      <c r="R5" s="1483" t="s">
        <v>715</v>
      </c>
      <c r="S5" s="1483" t="str">
        <f>"Ingreso Computable 2003" &amp; IF(OR(EXACT(LEFT(boletin,2),"04"),EXACT(LEFT(boletin,2),"14"),EXACT(LEFT(boletin,2),"17"))," (Civil + Penal)","")</f>
        <v>Ingreso Computable 2003</v>
      </c>
      <c r="T5" s="1483" t="s">
        <v>691</v>
      </c>
      <c r="U5" s="1518" t="str">
        <f>"% Ingreso Computable 2003" &amp; IF(OR(EXACT(LEFT(boletin,2),"04"),EXACT(LEFT(boletin,2),"14"),EXACT(LEFT(boletin,2),"17"))," (Civil + Penal)","")</f>
        <v>% Ingreso Computable 2003</v>
      </c>
      <c r="V5" s="1518" t="s">
        <v>695</v>
      </c>
      <c r="W5" s="1483" t="s">
        <v>760</v>
      </c>
      <c r="X5" s="1483" t="s">
        <v>761</v>
      </c>
      <c r="Y5" s="1486" t="s">
        <v>662</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696</v>
      </c>
      <c r="AC5" s="1542" t="s">
        <v>697</v>
      </c>
      <c r="AD5" s="1542" t="s">
        <v>698</v>
      </c>
      <c r="AE5" s="1542" t="s">
        <v>699</v>
      </c>
      <c r="AF5" s="1483" t="s">
        <v>700</v>
      </c>
      <c r="AG5" s="1483" t="s">
        <v>701</v>
      </c>
      <c r="AH5" s="1483" t="s">
        <v>702</v>
      </c>
      <c r="AI5" s="1483" t="s">
        <v>703</v>
      </c>
      <c r="AJ5" s="1483" t="s">
        <v>178</v>
      </c>
      <c r="AK5" s="1495" t="s">
        <v>534</v>
      </c>
      <c r="AL5" s="1495" t="s">
        <v>179</v>
      </c>
      <c r="AM5" s="1483" t="s">
        <v>565</v>
      </c>
      <c r="AN5" s="1483" t="s">
        <v>243</v>
      </c>
      <c r="AO5" s="1483" t="s">
        <v>244</v>
      </c>
      <c r="AP5" s="1483" t="s">
        <v>704</v>
      </c>
      <c r="AQ5" s="1483" t="s">
        <v>705</v>
      </c>
      <c r="AR5" s="1483" t="s">
        <v>706</v>
      </c>
      <c r="AS5" s="1483" t="s">
        <v>707</v>
      </c>
      <c r="AT5" s="1483" t="s">
        <v>708</v>
      </c>
      <c r="AU5" s="1483" t="s">
        <v>709</v>
      </c>
      <c r="AV5" s="1483" t="s">
        <v>710</v>
      </c>
      <c r="AW5" s="1483" t="s">
        <v>711</v>
      </c>
      <c r="AX5" s="1483" t="s">
        <v>831</v>
      </c>
      <c r="AY5" s="1483" t="s">
        <v>834</v>
      </c>
      <c r="AZ5" s="1483" t="s">
        <v>712</v>
      </c>
      <c r="BA5" s="1483" t="s">
        <v>713</v>
      </c>
      <c r="BB5" s="1483" t="s">
        <v>533</v>
      </c>
      <c r="BC5" s="1345" t="s">
        <v>720</v>
      </c>
      <c r="BD5" s="1345" t="s">
        <v>721</v>
      </c>
      <c r="BE5" s="1512" t="s">
        <v>722</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242</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0</v>
      </c>
      <c r="F10" s="686">
        <f>IF(ISNUMBER(Datos!L10+Datos!K10-Datos!J10),Datos!L10+Datos!K10-Datos!J10," - ")</f>
        <v>96</v>
      </c>
      <c r="G10" s="687">
        <f>IF(ISNUMBER(Datos!I10),Datos!I10," - ")</f>
        <v>96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82</v>
      </c>
      <c r="AC10" s="686" t="str">
        <f>IF(ISNUMBER(IF(D_I="SI",DatosP!K17,DatosP!K17+DatosP!AE17)),IF(D_I="SI",DatosP!K17,DatosP!K17+DatosP!AE17)," - ")</f>
        <v xml:space="preserve"> - </v>
      </c>
      <c r="AD10" s="688"/>
      <c r="AE10" s="688"/>
      <c r="AF10" s="691">
        <f>IF(ISNUMBER(Datos!L10),Datos!L10,"-")</f>
        <v>73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52</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9.7926829268292686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242</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16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7.333333333333333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-4.2079207920792082E-2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96</v>
      </c>
      <c r="G13" s="941">
        <f t="shared" si="0"/>
        <v>96</v>
      </c>
      <c r="H13" s="941">
        <f t="shared" si="0"/>
        <v>0</v>
      </c>
      <c r="I13" s="943">
        <f t="shared" si="0"/>
        <v>0</v>
      </c>
      <c r="J13" s="942">
        <f t="shared" si="0"/>
        <v>0</v>
      </c>
      <c r="K13" s="942">
        <f t="shared" si="0"/>
        <v>0</v>
      </c>
      <c r="L13" s="944">
        <f t="shared" si="0"/>
        <v>0</v>
      </c>
      <c r="M13" s="944">
        <f t="shared" si="0"/>
        <v>0</v>
      </c>
      <c r="N13" s="942">
        <f t="shared" si="0"/>
        <v>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82</v>
      </c>
      <c r="AC13" s="942">
        <f t="shared" si="1"/>
        <v>0</v>
      </c>
      <c r="AD13" s="942">
        <f t="shared" si="1"/>
        <v>21</v>
      </c>
      <c r="AE13" s="942">
        <f t="shared" si="1"/>
        <v>0</v>
      </c>
      <c r="AF13" s="942">
        <f t="shared" si="1"/>
        <v>73</v>
      </c>
      <c r="AG13" s="942">
        <f t="shared" si="1"/>
        <v>0</v>
      </c>
      <c r="AH13" s="942">
        <f t="shared" si="1"/>
        <v>387</v>
      </c>
      <c r="AI13" s="942">
        <f t="shared" si="1"/>
        <v>0</v>
      </c>
      <c r="AJ13" s="942">
        <f t="shared" si="1"/>
        <v>0</v>
      </c>
      <c r="AK13" s="942">
        <f t="shared" si="1"/>
        <v>0</v>
      </c>
      <c r="AL13" s="942">
        <f t="shared" si="1"/>
        <v>52</v>
      </c>
      <c r="AM13" s="942">
        <f t="shared" si="1"/>
        <v>23</v>
      </c>
      <c r="AN13" s="942">
        <f t="shared" si="1"/>
        <v>0</v>
      </c>
      <c r="AO13" s="942">
        <f t="shared" si="1"/>
        <v>0</v>
      </c>
      <c r="AP13" s="947">
        <f>IF(ISNUMBER(((Datos!L13/Datos!K13)*11)/factor_trimestre),((Datos!L13/Datos!K13)*11)/factor_trimestre," - ")</f>
        <v>6.5508160746125359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-0.85416666666666663</v>
      </c>
      <c r="AU13" s="942" t="str">
        <f>IF(ISNUMBER((DatosP!#REF!-DatosP!#REF!+DatosP!#REF!)/(DatosP!#REF!+DatosP!#REF!-DatosP!#REF!-DatosP!#REF!)),(DatosP!#REF!-DatosP!#REF!+DatosP!#REF!)/(DatosP!#REF!+DatosP!#REF!-DatosP!#REF!-DatosP!#REF!)," - ")</f>
        <v xml:space="preserve"> - </v>
      </c>
      <c r="AV13" s="948">
        <f>SUBTOTAL(9,AV9:AV12)</f>
        <v>-4.2079207920792082E-2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4.5501930501930499</v>
      </c>
      <c r="AQ18" s="947">
        <f>IF(ISNUMBER(((Datos!M18/Datos!L18)*11)/factor_trimestre),((Datos!M18/Datos!L18)*11)/factor_trimestre," - ")</f>
        <v>3.6262197708952058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-0.19580419580419581</v>
      </c>
      <c r="AW18" s="949">
        <f>IF(ISNUMBER((Datos!Q18-Datos!R18)/(Datos!S18-Datos!Q18+Datos!R18)),(Datos!Q18-Datos!R18)/(Datos!S18-Datos!Q18+Datos!R18)," - ")</f>
        <v>0</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96</v>
      </c>
      <c r="G19" s="954">
        <f t="shared" si="4"/>
        <v>96</v>
      </c>
      <c r="H19" s="954">
        <f t="shared" si="4"/>
        <v>0</v>
      </c>
      <c r="I19" s="955">
        <f t="shared" si="4"/>
        <v>0</v>
      </c>
      <c r="J19" s="956">
        <f t="shared" si="4"/>
        <v>0</v>
      </c>
      <c r="K19" s="956">
        <f t="shared" si="4"/>
        <v>0</v>
      </c>
      <c r="L19" s="956">
        <f t="shared" si="4"/>
        <v>0</v>
      </c>
      <c r="M19" s="956">
        <f t="shared" si="4"/>
        <v>0</v>
      </c>
      <c r="N19" s="955">
        <f t="shared" si="4"/>
        <v>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82</v>
      </c>
      <c r="AC19" s="960">
        <f t="shared" si="5"/>
        <v>0</v>
      </c>
      <c r="AD19" s="960">
        <f t="shared" si="5"/>
        <v>21</v>
      </c>
      <c r="AE19" s="960">
        <f t="shared" si="5"/>
        <v>0</v>
      </c>
      <c r="AF19" s="961">
        <f t="shared" si="5"/>
        <v>73</v>
      </c>
      <c r="AG19" s="961">
        <f t="shared" si="5"/>
        <v>0</v>
      </c>
      <c r="AH19" s="961">
        <f t="shared" si="5"/>
        <v>387</v>
      </c>
      <c r="AI19" s="961">
        <f t="shared" si="5"/>
        <v>0</v>
      </c>
      <c r="AJ19" s="962">
        <f t="shared" si="5"/>
        <v>0</v>
      </c>
      <c r="AK19" s="962">
        <f t="shared" si="5"/>
        <v>0</v>
      </c>
      <c r="AL19" s="954">
        <f t="shared" si="5"/>
        <v>52</v>
      </c>
      <c r="AM19" s="954">
        <f t="shared" si="5"/>
        <v>23</v>
      </c>
      <c r="AN19" s="954">
        <f t="shared" si="5"/>
        <v>0</v>
      </c>
      <c r="AO19" s="954">
        <f t="shared" si="5"/>
        <v>0</v>
      </c>
      <c r="AP19" s="954">
        <f>IF(ISNUMBER(((Datos!L19/Datos!K19)*11)/factor_trimestre),((Datos!L19/Datos!K19)*11)/factor_trimestre," - ")</f>
        <v>5.6731850026945878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-0.85416666666666663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-4.0908302998786616E-2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2.7568097504180442</v>
      </c>
      <c r="F21" s="739">
        <f>IF(ISNUMBER(STDEV(F8:F18)),STDEV(F8:F18),"-")</f>
        <v>55.42562584220407</v>
      </c>
      <c r="G21" s="740">
        <f>IF(ISNUMBER(STDEV(G8:G18)),STDEV(G8:G18),"-")</f>
        <v>55.42562584220407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47.342722073549311</v>
      </c>
      <c r="AC21" s="741">
        <f>IF(ISNUMBER(STDEV(AC8:AC18)),STDEV(AC8:AC18),"-")</f>
        <v>0</v>
      </c>
      <c r="AD21" s="744"/>
      <c r="AE21" s="744"/>
      <c r="AF21" s="744"/>
      <c r="AG21" s="744"/>
      <c r="AH21" s="744"/>
      <c r="AI21" s="744"/>
      <c r="AJ21" s="745">
        <f>IF(ISNUMBER(STDEV(AJ8:AJ18)),STDEV(AJ8:AJ18),"-")</f>
        <v>0</v>
      </c>
      <c r="AK21" s="747"/>
      <c r="AL21" s="739">
        <f>IF(ISNUMBER(STDEV(AL8:AL18)),STDEV(AL8:AL18),"-")</f>
        <v>30.02221399786054</v>
      </c>
      <c r="AM21" s="739"/>
      <c r="AN21" s="739">
        <f>IF(ISNUMBER(STDEV(AN8:AN18)),STDEV(AN8:AN18),"-")</f>
        <v>0</v>
      </c>
      <c r="AO21" s="745">
        <f>IF(ISNUMBER(STDEV(AO8:AO18)),STDEV(AO8:AO18),"-")</f>
        <v>0</v>
      </c>
      <c r="AP21" s="782">
        <f>IF(ISNUMBER(STDEV(AP8:AP18)),STDEV(AP8:AP18),"-")</f>
        <v>2.1679963253127501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fkFbCMV+f5ShQTaMnK5mlyOF9RpkBiVTG4nn7CjsfFRbVV9KnwXCRjHQhsuI7hZ4Wo/3GLtR9FqH2lRSrg2WQ==" saltValue="OWZLMHFaqkJJzeQ1ONB/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214</v>
      </c>
      <c r="B3" s="394" t="str">
        <f>Criterios!A10 &amp;"  "&amp;Criterios!B10</f>
        <v>Provincias  LUGO</v>
      </c>
      <c r="C3" s="418"/>
      <c r="F3" s="378"/>
      <c r="G3" s="378"/>
      <c r="H3" s="378"/>
    </row>
    <row r="4" spans="1:15" ht="13.5" thickBot="1">
      <c r="A4" s="378"/>
      <c r="B4" s="394" t="str">
        <f>Criterios!A11 &amp;"  "&amp;Criterios!B11</f>
        <v>Resumenes por Partidos Judiciales  LUGO</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UWXOdkkcgho3vBI49C3xM3uu1AVBeQ9s3UhyVt4ncNgYL8PrMcxRzPSoRz/p4mSbJV+5j7BAxM6JWMs8FUE6w==" saltValue="FXBhSfZ/28mtBHmbDAjr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LUGO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2138</v>
      </c>
      <c r="E9" s="407">
        <f t="shared" ref="E9:E13" si="0">IF(ISNUMBER(D9/B9),D9/B9," - ")</f>
        <v>427.6</v>
      </c>
      <c r="F9" s="406">
        <f>IF(ISNUMBER(Datos!N9),Datos!N9," - ")</f>
        <v>2681</v>
      </c>
      <c r="G9" s="407">
        <f t="shared" ref="G9:G13" si="1">IF(ISNUMBER(F9/B9),F9/B9," - ")</f>
        <v>536.20000000000005</v>
      </c>
      <c r="H9" s="406">
        <f>IF(ISNUMBER(Datos!O9),Datos!O9," - ")</f>
        <v>3470</v>
      </c>
      <c r="I9" s="407">
        <f>IF(ISNUMBER(H9/B9),H9/B9," - ")</f>
        <v>694</v>
      </c>
    </row>
    <row r="10" spans="1:9">
      <c r="A10" s="405" t="str">
        <f>Datos!A10</f>
        <v>Jdos. Violencia contra la mujer</v>
      </c>
      <c r="B10" s="430">
        <f>Datos!AO10</f>
        <v>1</v>
      </c>
      <c r="C10" s="413">
        <f>Datos!AQ10</f>
        <v>0</v>
      </c>
      <c r="D10" s="406">
        <f>IF(ISNUMBER(Datos!M10),Datos!M10," - ")</f>
        <v>52</v>
      </c>
      <c r="E10" s="407">
        <f>IF(ISNUMBER(D10/B10),D10/B10," - ")</f>
        <v>52</v>
      </c>
      <c r="F10" s="406">
        <f>IF(ISNUMBER(Datos!N10),Datos!N10," - ")</f>
        <v>7</v>
      </c>
      <c r="G10" s="407">
        <f>IF(ISNUMBER(F10/B10),F10/B10," - ")</f>
        <v>7</v>
      </c>
      <c r="H10" s="406">
        <f>IF(ISNUMBER(Datos!O10),Datos!O10," - ")</f>
        <v>1</v>
      </c>
      <c r="I10" s="407">
        <f t="shared" ref="I10:I12" si="2">IF(ISNUMBER(H10/B10),H10/B10," - ")</f>
        <v>1</v>
      </c>
    </row>
    <row r="11" spans="1:9">
      <c r="A11" s="405" t="str">
        <f>Datos!A11</f>
        <v xml:space="preserve">Jdos. Familia                                   </v>
      </c>
      <c r="B11" s="430">
        <f>Datos!AO11</f>
        <v>1</v>
      </c>
      <c r="C11" s="413">
        <f>Datos!AQ11</f>
        <v>1</v>
      </c>
      <c r="D11" s="406">
        <f>IF(ISNUMBER(Datos!M11),Datos!M11," - ")</f>
        <v>158</v>
      </c>
      <c r="E11" s="407">
        <f t="shared" si="0"/>
        <v>158</v>
      </c>
      <c r="F11" s="406">
        <f>IF(ISNUMBER(Datos!N11),Datos!N11," - ")</f>
        <v>581</v>
      </c>
      <c r="G11" s="407">
        <f t="shared" si="1"/>
        <v>581</v>
      </c>
      <c r="H11" s="406">
        <f>IF(ISNUMBER(Datos!O11),Datos!O11," - ")</f>
        <v>123</v>
      </c>
      <c r="I11" s="407">
        <f t="shared" si="2"/>
        <v>123</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16</v>
      </c>
      <c r="G12" s="407" t="str">
        <f t="shared" si="1"/>
        <v xml:space="preserve"> - </v>
      </c>
      <c r="H12" s="406">
        <f>IF(ISNUMBER(Datos!O12),Datos!O12," - ")</f>
        <v>10</v>
      </c>
      <c r="I12" s="407" t="str">
        <f t="shared" si="2"/>
        <v xml:space="preserve"> - </v>
      </c>
    </row>
    <row r="13" spans="1:9" ht="14.25" thickTop="1" thickBot="1">
      <c r="A13" s="851" t="str">
        <f>Datos!A13</f>
        <v>TOTAL</v>
      </c>
      <c r="B13" s="852">
        <f>Datos!AO13</f>
        <v>7</v>
      </c>
      <c r="C13" s="854">
        <f>Datos!AR13</f>
        <v>6</v>
      </c>
      <c r="D13" s="852">
        <f>SUBTOTAL(9,D9:D12)</f>
        <v>2348</v>
      </c>
      <c r="E13" s="853">
        <f t="shared" si="0"/>
        <v>335.42857142857144</v>
      </c>
      <c r="F13" s="852">
        <f>SUBTOTAL(9,F9:F12)</f>
        <v>3285</v>
      </c>
      <c r="G13" s="853">
        <f t="shared" si="1"/>
        <v>469.28571428571428</v>
      </c>
      <c r="H13" s="852">
        <f>SUBTOTAL(9,H9:H12)</f>
        <v>3604</v>
      </c>
      <c r="I13" s="853">
        <f>IF(ISNUMBER(H13/B13),H13/B13," - ")</f>
        <v>514.85714285714289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768</v>
      </c>
      <c r="E15" s="407">
        <f t="shared" ref="E15:E18" si="3">IF(ISNUMBER(D15/B15),D15/B15," - ")</f>
        <v>256</v>
      </c>
      <c r="F15" s="406">
        <f>IF(ISNUMBER(Datos!N15),Datos!N15," - ")</f>
        <v>2652</v>
      </c>
      <c r="G15" s="407">
        <f t="shared" ref="G15:G18" si="4">IF(ISNUMBER(F15/B15),F15/B15," - ")</f>
        <v>884</v>
      </c>
      <c r="H15" s="406">
        <f>IF(ISNUMBER(Datos!O15),Datos!O15," - ")</f>
        <v>38</v>
      </c>
      <c r="I15" s="407">
        <f t="shared" ref="I15:I17" si="5">IF(ISNUMBER(H15/B15),H15/B15," - ")</f>
        <v>12.666666666666666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325</v>
      </c>
      <c r="G17" s="407">
        <f>IF(ISNUMBER(F17/B17),F17/B17," - ")</f>
        <v>325</v>
      </c>
      <c r="H17" s="406">
        <f>IF(ISNUMBER(Datos!O17),Datos!O17," - ")</f>
        <v>0</v>
      </c>
      <c r="I17" s="407">
        <f t="shared" si="5"/>
        <v>0</v>
      </c>
    </row>
    <row r="18" spans="1:9" ht="14.25" thickTop="1" thickBot="1">
      <c r="A18" s="851" t="str">
        <f>Datos!A18</f>
        <v>TOTAL</v>
      </c>
      <c r="B18" s="852">
        <f>Datos!AO18</f>
        <v>4</v>
      </c>
      <c r="C18" s="854">
        <f>Datos!AR18</f>
        <v>3</v>
      </c>
      <c r="D18" s="852">
        <f>SUBTOTAL(9,D15:D17)</f>
        <v>777</v>
      </c>
      <c r="E18" s="853">
        <f t="shared" si="3"/>
        <v>194.25</v>
      </c>
      <c r="F18" s="852">
        <f>SUBTOTAL(9,F15:F17)</f>
        <v>2977</v>
      </c>
      <c r="G18" s="853">
        <f t="shared" si="4"/>
        <v>744.25</v>
      </c>
      <c r="H18" s="852">
        <f>SUBTOTAL(9,H15:H17)</f>
        <v>38</v>
      </c>
      <c r="I18" s="853">
        <f>IF(ISNUMBER(H18/B18),H18/B18," - ")</f>
        <v>9.5</v>
      </c>
    </row>
    <row r="19" spans="1:9" ht="14.25" thickTop="1" thickBot="1">
      <c r="A19" s="796" t="str">
        <f>Datos!A19</f>
        <v>TOTAL JURISDICCIONES</v>
      </c>
      <c r="B19" s="797">
        <f>Datos!AP19</f>
        <v>9</v>
      </c>
      <c r="C19" s="797">
        <f>Datos!AR19</f>
        <v>9</v>
      </c>
      <c r="D19" s="797">
        <f>SUBTOTAL(9,D8:D18)</f>
        <v>3125</v>
      </c>
      <c r="E19" s="798">
        <f>IF(ISNUMBER(D19/B19),D19/B19," - ")</f>
        <v>347.22222222222223</v>
      </c>
      <c r="F19" s="797">
        <f>SUBTOTAL(9,F8:F18)</f>
        <v>6262</v>
      </c>
      <c r="G19" s="798">
        <f>IF(ISNUMBER(F19/B19),F19/B19," - ")</f>
        <v>695.77777777777783</v>
      </c>
      <c r="H19" s="797">
        <f>SUBTOTAL(9,H8:H18)</f>
        <v>3642</v>
      </c>
      <c r="I19" s="798">
        <f>IF(ISNUMBER(H19/B19),H19/B19," - ")</f>
        <v>404.66666666666669</v>
      </c>
    </row>
    <row r="22" spans="1:9">
      <c r="A22" s="394" t="str">
        <f>Criterios!A4</f>
        <v>Fecha Informe: 03 may. 2024</v>
      </c>
    </row>
    <row r="27" spans="1:9">
      <c r="A27" s="417"/>
    </row>
  </sheetData>
  <sheetProtection algorithmName="SHA-512" hashValue="jum1lbxflTF44Kdl5c21zf/QQzuaRevauw8fNz4ErwEbuwdMyp1oyVmaoga2TY8sbI1e/y2BkR/FRoayNcNeHQ==" saltValue="P0aDUGQVxukDFvhyj23u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LUGO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1723</v>
      </c>
      <c r="C9" s="437">
        <f>IF(ISNUMBER(Datos!Q9),Datos!Q9," - ")</f>
        <v>1911</v>
      </c>
      <c r="D9" s="411">
        <f>IF(ISNUMBER(Datos!R9),Datos!R9," - ")</f>
        <v>4846</v>
      </c>
    </row>
    <row r="10" spans="1:4">
      <c r="A10" s="405" t="str">
        <f>Datos!A10</f>
        <v>Jdos. Violencia contra la mujer</v>
      </c>
      <c r="B10" s="436">
        <f>IF(ISNUMBER(Datos!P10),Datos!P10," - ")</f>
        <v>7</v>
      </c>
      <c r="C10" s="437">
        <f>IF(ISNUMBER(Datos!Q10),Datos!Q10," - ")</f>
        <v>0</v>
      </c>
      <c r="D10" s="411">
        <f>IF(ISNUMBER(Datos!R10),Datos!R10," - ")</f>
        <v>53</v>
      </c>
    </row>
    <row r="11" spans="1:4">
      <c r="A11" s="405" t="str">
        <f>Datos!A11</f>
        <v xml:space="preserve">Jdos. Familia                                   </v>
      </c>
      <c r="B11" s="436">
        <f>IF(ISNUMBER(Datos!P11),Datos!P11," - ")</f>
        <v>19</v>
      </c>
      <c r="C11" s="437">
        <f>IF(ISNUMBER(Datos!Q11),Datos!Q11," - ")</f>
        <v>1</v>
      </c>
      <c r="D11" s="411">
        <f>IF(ISNUMBER(Datos!R11),Datos!R11," - ")</f>
        <v>17</v>
      </c>
    </row>
    <row r="12" spans="1:4" ht="13.5" thickBot="1">
      <c r="A12" s="405" t="str">
        <f>Datos!A12</f>
        <v xml:space="preserve">Jdos. 1ª Instª. e Instr.                        </v>
      </c>
      <c r="B12" s="436">
        <f>IF(ISNUMBER(Datos!P12),Datos!P12," - ")</f>
        <v>4</v>
      </c>
      <c r="C12" s="437">
        <f>IF(ISNUMBER(Datos!Q12),Datos!Q12," - ")</f>
        <v>21</v>
      </c>
      <c r="D12" s="411">
        <f>IF(ISNUMBER(Datos!R12),Datos!R12," - ")</f>
        <v>387</v>
      </c>
    </row>
    <row r="13" spans="1:4" ht="14.25" thickTop="1" thickBot="1">
      <c r="A13" s="851" t="str">
        <f>Datos!A13</f>
        <v>TOTAL</v>
      </c>
      <c r="B13" s="852">
        <f>SUBTOTAL(9,B9:B12)</f>
        <v>1753</v>
      </c>
      <c r="C13" s="856">
        <f>SUBTOTAL(9,C9:C12)</f>
        <v>1933</v>
      </c>
      <c r="D13" s="854">
        <f>SUBTOTAL(9,D9:D12)</f>
        <v>5303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174</v>
      </c>
      <c r="C15" s="437">
        <f>IF(ISNUMBER(Datos!Q15),Datos!Q15," - ")</f>
        <v>230</v>
      </c>
      <c r="D15" s="411">
        <f>IF(ISNUMBER(Datos!R15),Datos!R15," - ")</f>
        <v>230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174</v>
      </c>
      <c r="C18" s="856">
        <f>SUBTOTAL(9,C15:C17)</f>
        <v>230</v>
      </c>
      <c r="D18" s="854">
        <f>SUBTOTAL(9,D15:D17)</f>
        <v>230</v>
      </c>
    </row>
    <row r="19" spans="1:4" ht="16.5" customHeight="1" thickTop="1" thickBot="1">
      <c r="A19" s="796" t="str">
        <f>Datos!A19</f>
        <v>TOTAL JURISDICCIONES</v>
      </c>
      <c r="B19" s="801">
        <f>SUBTOTAL(9,B8:B18)</f>
        <v>1927</v>
      </c>
      <c r="C19" s="802">
        <f>SUBTOTAL(9,C8:C18)</f>
        <v>2163</v>
      </c>
      <c r="D19" s="803">
        <f>SUBTOTAL(9,D8:D18)</f>
        <v>5533</v>
      </c>
    </row>
    <row r="20" spans="1:4" ht="7.5" customHeight="1"/>
    <row r="21" spans="1:4" ht="6" customHeight="1"/>
    <row r="22" spans="1:4">
      <c r="A22" s="394" t="str">
        <f>Criterios!A4</f>
        <v>Fecha Informe: 03 may. 2024</v>
      </c>
    </row>
    <row r="27" spans="1:4">
      <c r="A27" s="417"/>
    </row>
  </sheetData>
  <sheetProtection algorithmName="SHA-512" hashValue="SoZ8LsRdFpRetgdElCdVQHdjvsVlZ0v5VznliLRsD1yGpvXXn25UnnnO8OXZiHgwWSUcczO7timFIYLdFp8Qtg==" saltValue="bXSuMQnH6VpIjbS2mfUV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LUGO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0.1048969761841049</v>
      </c>
      <c r="C9" s="459">
        <f>IF(ISNUMBER(
   IF(J_V="SI",(Datos!J9-Datos!T9)/Datos!T9,(Datos!J9+Datos!Z9-(Datos!T9+Datos!AH9))/(Datos!T9+Datos!AH9))
     ),IF(J_V="SI",(Datos!J9-Datos!T9)/Datos!T9,(Datos!J9+Datos!Z9-(Datos!T9+Datos!AH9))/(Datos!T9+Datos!AH9))," - ")</f>
        <v>-0.10785973397823458</v>
      </c>
      <c r="D9" s="459">
        <f>IF(ISNUMBER(
   IF(J_V="SI",(Datos!K9-Datos!U9)/Datos!U9,(Datos!K9+Datos!AA9-(Datos!U9+Datos!AI9))/(Datos!U9+Datos!AI9))
     ),IF(J_V="SI",(Datos!K9-Datos!U9)/Datos!U9,(Datos!K9+Datos!AA9-(Datos!U9+Datos!AI9))/(Datos!U9+Datos!AI9))," - ")</f>
        <v>-5.3992104928052974E-2</v>
      </c>
      <c r="E9" s="459">
        <f>IF(ISNUMBER(
   IF(J_V="SI",(Datos!L9-Datos!V9)/Datos!V9,(Datos!L9+Datos!AB9-(Datos!V9+Datos!AJ9))/(Datos!V9+Datos!AJ9))
     ),IF(J_V="SI",(Datos!L9-Datos!V9)/Datos!V9,(Datos!L9+Datos!AB9-(Datos!V9+Datos!AJ9))/(Datos!V9+Datos!AJ9))," - ")</f>
        <v>-1.1382901428917413E-2</v>
      </c>
      <c r="F9" s="459">
        <f>IF(ISNUMBER((Datos!M9-Datos!W9)/Datos!W9),(Datos!M9-Datos!W9)/Datos!W9," - ")</f>
        <v>-2.2851919561243144E-2</v>
      </c>
      <c r="G9" s="460">
        <f>IF(ISNUMBER((Datos!N9-Datos!X9)/Datos!X9),(Datos!N9-Datos!X9)/Datos!X9," - ")</f>
        <v>-6.9097222222222227E-2</v>
      </c>
      <c r="H9" s="458">
        <f>IF(ISNUMBER(((NºAsuntos!G9/NºAsuntos!E9)-Datos!BD9)/Datos!BD9),((NºAsuntos!G9/NºAsuntos!E9)-Datos!BD9)/Datos!BD9," - ")</f>
        <v>6.0380223942125479E-2</v>
      </c>
      <c r="I9" s="459">
        <f>IF(ISNUMBER(((NºAsuntos!I9/NºAsuntos!G9)-Datos!BE9)/Datos!BE9),((NºAsuntos!I9/NºAsuntos!G9)-Datos!BE9)/Datos!BE9," - ")</f>
        <v>4.5041065429897734E-2</v>
      </c>
      <c r="J9" s="464">
        <f>IF(ISNUMBER((('Resol  Asuntos'!D9/NºAsuntos!G9)-Datos!BF9)/Datos!BF9),(('Resol  Asuntos'!D9/NºAsuntos!G9)-Datos!BF9)/Datos!BF9," - ")</f>
        <v>-0.21526964523414241</v>
      </c>
      <c r="K9" s="465">
        <f>IF(ISNUMBER((((NºAsuntos!C9+NºAsuntos!E9)/NºAsuntos!G9)-Datos!BG9)/Datos!BG9),(((NºAsuntos!C9+NºAsuntos!E9)/NºAsuntos!G9)-Datos!BG9)/Datos!BG9," - ")</f>
        <v>1.3054573551976216E-2</v>
      </c>
    </row>
    <row r="10" spans="1:11">
      <c r="A10" s="405" t="str">
        <f>Datos!A10</f>
        <v>Jdos. Violencia contra la mujer</v>
      </c>
      <c r="B10" s="458">
        <f>IF(ISNUMBER((Datos!I10-Datos!S10)/Datos!S10),(Datos!I10-Datos!S10)/Datos!S10," - ")</f>
        <v>0.15662650602409639</v>
      </c>
      <c r="C10" s="459">
        <f>IF(ISNUMBER((Datos!J10-Datos!T10)/Datos!T10),(Datos!J10-Datos!T10)/Datos!T10," - ")</f>
        <v>-0.23376623376623376</v>
      </c>
      <c r="D10" s="459">
        <f>IF(ISNUMBER((Datos!K10-Datos!U10)/Datos!U10),(Datos!K10-Datos!U10)/Datos!U10," - ")</f>
        <v>0.28125</v>
      </c>
      <c r="E10" s="459">
        <f>IF(ISNUMBER((Datos!L10-Datos!V10)/Datos!V10),(Datos!L10-Datos!V10)/Datos!V10," - ")</f>
        <v>-0.23958333333333334</v>
      </c>
      <c r="F10" s="459">
        <f>IF(ISNUMBER((Datos!M10-Datos!W10)/Datos!W10),(Datos!M10-Datos!W10)/Datos!W10," - ")</f>
        <v>0.5757575757575758</v>
      </c>
      <c r="G10" s="460">
        <f>IF(ISNUMBER((Datos!N10-Datos!X10)/Datos!X10),(Datos!N10-Datos!X10)/Datos!X10," - ")</f>
        <v>-0.58823529411764708</v>
      </c>
      <c r="H10" s="458">
        <f>IF(ISNUMBER(((NºAsuntos!G10/NºAsuntos!E10)-Datos!BD10)/Datos!BD10),((NºAsuntos!G10/NºAsuntos!E10)-Datos!BD10)/Datos!BD10," - ")</f>
        <v>0.67213983050847459</v>
      </c>
      <c r="I10" s="459">
        <f>IF(ISNUMBER(((NºAsuntos!I10/NºAsuntos!G10)-Datos!BE10)/Datos!BE10),((NºAsuntos!I10/NºAsuntos!G10)-Datos!BE10)/Datos!BE10," - ")</f>
        <v>-0.4065040650406504</v>
      </c>
      <c r="J10" s="464">
        <f>IF(ISNUMBER((('Resol  Asuntos'!D10/NºAsuntos!G10)-Datos!BF10)/Datos!BF10),(('Resol  Asuntos'!D10/NºAsuntos!G10)-Datos!BF10)/Datos!BF10," - ")</f>
        <v>0.22985957132298598</v>
      </c>
      <c r="K10" s="465">
        <f>IF(ISNUMBER((((NºAsuntos!C10+NºAsuntos!E10)/NºAsuntos!G10)-Datos!BG10)/Datos!BG10),(((NºAsuntos!C10+NºAsuntos!E10)/NºAsuntos!G10)-Datos!BG10)/Datos!BG10," - ")</f>
        <v>-0.24390243902439029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-0.125</v>
      </c>
      <c r="C12" s="459">
        <f>IF(ISNUMBER(
   IF(J_V="SI",(Datos!J12-Datos!T12)/Datos!T12,(Datos!J12+Datos!Z12-(Datos!T12+Datos!AH12))/(Datos!T12+Datos!AH12))
     ),IF(J_V="SI",(Datos!J12-Datos!T12)/Datos!T12,(Datos!J12+Datos!Z12-(Datos!T12+Datos!AH12))/(Datos!T12+Datos!AH12))," - ")</f>
        <v>-0.91666666666666663</v>
      </c>
      <c r="D12" s="459">
        <f>IF(ISNUMBER(
   IF(J_V="SI",(Datos!K12-Datos!U12)/Datos!U12,(Datos!K12+Datos!AA12-(Datos!U12+Datos!AI12))/(Datos!U12+Datos!AI12))
     ),IF(J_V="SI",(Datos!K12-Datos!U12)/Datos!U12,(Datos!K12+Datos!AA12-(Datos!U12+Datos!AI12))/(Datos!U12+Datos!AI12))," - ")</f>
        <v>-0.7857142857142857</v>
      </c>
      <c r="E12" s="459">
        <f>IF(ISNUMBER(
   IF(J_V="SI",(Datos!L12-Datos!V12)/Datos!V12,(Datos!L12+Datos!AB12-(Datos!V12+Datos!AJ12))/(Datos!V12+Datos!AJ12))
     ),IF(J_V="SI",(Datos!L12-Datos!V12)/Datos!V12,(Datos!L12+Datos!AB12-(Datos!V12+Datos!AJ12))/(Datos!V12+Datos!AJ12))," - ")</f>
        <v>-0.8571428571428571</v>
      </c>
      <c r="F12" s="459" t="str">
        <f>IF(ISNUMBER((Datos!M12-Datos!W12)/Datos!W12),(Datos!M12-Datos!W12)/Datos!W12," - ")</f>
        <v xml:space="preserve"> - </v>
      </c>
      <c r="G12" s="460">
        <f>IF(ISNUMBER((Datos!N12-Datos!X12)/Datos!X12),(Datos!N12-Datos!X12)/Datos!X12," - ")</f>
        <v>0.33333333333333331</v>
      </c>
      <c r="H12" s="458">
        <f>IF(ISNUMBER(((NºAsuntos!G12/NºAsuntos!E12)-Datos!BD12)/Datos!BD12),((NºAsuntos!G12/NºAsuntos!E12)-Datos!BD12)/Datos!BD12," - ")</f>
        <v>1.5714285714285712</v>
      </c>
      <c r="I12" s="459">
        <f>IF(ISNUMBER(((NºAsuntos!I12/NºAsuntos!G12)-Datos!BE12)/Datos!BE12),((NºAsuntos!I12/NºAsuntos!G12)-Datos!BE12)/Datos!BE12," - ")</f>
        <v>-0.33333333333333337</v>
      </c>
      <c r="J12" s="464">
        <f>IF(ISNUMBER((('Resol  Asuntos'!D12/NºAsuntos!G12)-Datos!BF12)/Datos!BF12),(('Resol  Asuntos'!D12/NºAsuntos!G12)-Datos!BF12)/Datos!BF12," - ")</f>
        <v>-1</v>
      </c>
      <c r="K12" s="465">
        <f>IF(ISNUMBER((((NºAsuntos!C12+NºAsuntos!E12)/NºAsuntos!G12)-Datos!BG12)/Datos!BG12),(((NºAsuntos!C12+NºAsuntos!E12)/NºAsuntos!G12)-Datos!BG12)/Datos!BG12," - ")</f>
        <v>1.5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0.10505735140771637</v>
      </c>
      <c r="C13" s="858">
        <f>IF(ISNUMBER(
   IF(J_V="SI",(Datos!J13-Datos!T13)/Datos!T13,(Datos!J13+Datos!Z13-(Datos!T13+Datos!AH13))/(Datos!T13+Datos!AH13))
     ),IF(J_V="SI",(Datos!J13-Datos!T13)/Datos!T13,(Datos!J13+Datos!Z13-(Datos!T13+Datos!AH13))/(Datos!T13+Datos!AH13))," - ")</f>
        <v>5.0484507716234001E-2</v>
      </c>
      <c r="D13" s="858">
        <f>IF(ISNUMBER(
   IF(J_V="SI",(Datos!K13-Datos!U13)/Datos!U13,(Datos!K13+Datos!AA13-(Datos!U13+Datos!AI13))/(Datos!U13+Datos!AI13))
     ),IF(J_V="SI",(Datos!K13-Datos!U13)/Datos!U13,(Datos!K13+Datos!AA13-(Datos!U13+Datos!AI13))/(Datos!U13+Datos!AI13))," - ")</f>
        <v>7.237422771403354E-2</v>
      </c>
      <c r="E13" s="858">
        <f>IF(ISNUMBER(
   IF(J_V="SI",(Datos!L13-Datos!V13)/Datos!V13,(Datos!L13+Datos!AB13-(Datos!V13+Datos!AJ13))/(Datos!V13+Datos!AJ13))
     ),IF(J_V="SI",(Datos!L13-Datos!V13)/Datos!V13,(Datos!L13+Datos!AB13-(Datos!V13+Datos!AJ13))/(Datos!V13+Datos!AJ13))," - ")</f>
        <v>6.1099315876385937E-2</v>
      </c>
      <c r="F13" s="859">
        <f>IF(ISNUMBER((Datos!M13-Datos!W13)/Datos!W13),(Datos!M13-Datos!W13)/Datos!W13," - ")</f>
        <v>5.7181449797388567E-2</v>
      </c>
      <c r="G13" s="860">
        <f>IF(ISNUMBER((Datos!N13-Datos!X13)/Datos!X13),(Datos!N13-Datos!X13)/Datos!X13," - ")</f>
        <v>0.12925403918872463</v>
      </c>
      <c r="H13" s="860">
        <f>IF(ISNUMBER(((NºAsuntos!G13/NºAsuntos!E13)-Datos!BD13)/Datos!BD13),((NºAsuntos!G13/NºAsuntos!E13)-Datos!BD13)/Datos!BD13," - ")</f>
        <v>2.0837737098463316E-2</v>
      </c>
      <c r="I13" s="860">
        <f>IF(ISNUMBER(((NºAsuntos!I13/NºAsuntos!G13)-Datos!BE13)/Datos!BE13),((NºAsuntos!I13/NºAsuntos!G13)-Datos!BE13)/Datos!BE13," - ")</f>
        <v>-1.0513971285641743E-2</v>
      </c>
      <c r="J13" s="860">
        <f>IF(ISNUMBER((('Resol  Asuntos'!D13/NºAsuntos!G13)-Datos!BF13)/Datos!BF13),(('Resol  Asuntos'!D13/NºAsuntos!G13)-Datos!BF13)/Datos!BF13," - ")</f>
        <v>-0.25144131405859804</v>
      </c>
      <c r="K13" s="860">
        <f>IF(ISNUMBER((((NºAsuntos!C13+NºAsuntos!E13)/NºAsuntos!G13)-Datos!BG13)/Datos!BG13),(((NºAsuntos!C13+NºAsuntos!E13)/NºAsuntos!G13)-Datos!BG13)/Datos!BG13," - ")</f>
        <v>-4.4047600969837957E-3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8.4855627578078963E-2</v>
      </c>
      <c r="C15" s="459">
        <f>IF(ISNUMBER(
   IF(D_I="SI",(Datos!J15-Datos!T15)/Datos!T15,(Datos!J15+Datos!AD15-(Datos!T15+Datos!AL15))/(Datos!T15+Datos!AL15))
     ),IF(D_I="SI",(Datos!J15-Datos!T15)/Datos!T15,(Datos!J15+Datos!AD15-(Datos!T15+Datos!AL15))/(Datos!T15+Datos!AL15))," - ")</f>
        <v>0.17707082833133253</v>
      </c>
      <c r="D15" s="459">
        <f>IF(ISNUMBER(
   IF(D_I="SI",(Datos!K15-Datos!U15)/Datos!U15,(Datos!K15+Datos!AE15-(Datos!U15+Datos!AM15))/(Datos!U15+Datos!AM15))
     ),IF(D_I="SI",(Datos!K15-Datos!U15)/Datos!U15,(Datos!K15+Datos!AE15-(Datos!U15+Datos!AM15))/(Datos!U15+Datos!AM15))," - ")</f>
        <v>0.11628405921476079</v>
      </c>
      <c r="E15" s="459">
        <f>IF(ISNUMBER(
   IF(D_I="SI",(Datos!L15-Datos!V15)/Datos!V15,(Datos!L15+Datos!AF15-(Datos!V15+Datos!AN15))/(Datos!V15+Datos!AN15))
     ),IF(D_I="SI",(Datos!L15-Datos!V15)/Datos!V15,(Datos!L15+Datos!AF15-(Datos!V15+Datos!AN15))/(Datos!V15+Datos!AN15))," - ")</f>
        <v>0.1808799565453558</v>
      </c>
      <c r="F15" s="459">
        <f>IF(ISNUMBER((Datos!M15-Datos!W15)/Datos!W15),(Datos!M15-Datos!W15)/Datos!W15," - ")</f>
        <v>6.55307994757536E-3</v>
      </c>
      <c r="G15" s="460">
        <f>IF(ISNUMBER((Datos!N15-Datos!X15)/Datos!X15),(Datos!N15-Datos!X15)/Datos!X15," - ")</f>
        <v>4.8221343873517786E-2</v>
      </c>
      <c r="H15" s="458">
        <f>IF(ISNUMBER(((NºAsuntos!G15/NºAsuntos!E15)-Datos!BD15)/Datos!BD15),((NºAsuntos!G15/NºAsuntos!E15)-Datos!BD15)/Datos!BD15," - ")</f>
        <v>-5.1642405582972312E-2</v>
      </c>
      <c r="I15" s="459">
        <f>IF(ISNUMBER(((NºAsuntos!I15/NºAsuntos!G15)-Datos!BE15)/Datos!BE15),((NºAsuntos!I15/NºAsuntos!G15)-Datos!BE15)/Datos!BE15," - ")</f>
        <v>5.7866899376879284E-2</v>
      </c>
      <c r="J15" s="464">
        <f>IF(ISNUMBER((('Resol  Asuntos'!D15/NºAsuntos!G15)-Datos!BF15)/Datos!BF15),(('Resol  Asuntos'!D15/NºAsuntos!G15)-Datos!BF15)/Datos!BF15," - ")</f>
        <v>-9.8300229553017648E-2</v>
      </c>
      <c r="K15" s="465">
        <f>IF(ISNUMBER((((NºAsuntos!C15+NºAsuntos!E15)/NºAsuntos!G15)-Datos!BG15)/Datos!BG15),(((NºAsuntos!C15+NºAsuntos!E15)/NºAsuntos!G15)-Datos!BG15)/Datos!BG15," - ")</f>
        <v>3.351542031317882E-2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6.5934065934065936E-2</v>
      </c>
      <c r="C17" s="459">
        <f>IF(ISNUMBER(
   IF(D_I="SI",(Datos!J17-Datos!T17)/Datos!T17,(Datos!J17+Datos!AD17-(Datos!T17+Datos!AL17))/(Datos!T17+Datos!AL17))
     ),IF(D_I="SI",(Datos!J17-Datos!T17)/Datos!T17,(Datos!J17+Datos!AD17-(Datos!T17+Datos!AL17))/(Datos!T17+Datos!AL17))," - ")</f>
        <v>4.3103448275862072E-2</v>
      </c>
      <c r="D17" s="459">
        <f>IF(ISNUMBER(
   IF(D_I="SI",(Datos!K17-Datos!U17)/Datos!U17,(Datos!K17+Datos!AE17-(Datos!U17+Datos!AM17))/(Datos!U17+Datos!AM17))
     ),IF(D_I="SI",(Datos!K17-Datos!U17)/Datos!U17,(Datos!K17+Datos!AE17-(Datos!U17+Datos!AM17))/(Datos!U17+Datos!AM17))," - ")</f>
        <v>9.5132743362831854E-2</v>
      </c>
      <c r="E17" s="459">
        <f>IF(ISNUMBER(
   IF(D_I="SI",(Datos!L17-Datos!V17)/Datos!V17,(Datos!L17+Datos!AF17-(Datos!V17+Datos!AN17))/(Datos!V17+Datos!AN17))
     ),IF(D_I="SI",(Datos!L17-Datos!V17)/Datos!V17,(Datos!L17+Datos!AF17-(Datos!V17+Datos!AN17))/(Datos!V17+Datos!AN17))," - ")</f>
        <v>-5.6701030927835051E-2</v>
      </c>
      <c r="F17" s="459">
        <f>IF(ISNUMBER((Datos!M17-Datos!W17)/Datos!W17),(Datos!M17-Datos!W17)/Datos!W17," - ")</f>
        <v>-0.65384615384615385</v>
      </c>
      <c r="G17" s="460">
        <f>IF(ISNUMBER((Datos!N17-Datos!X17)/Datos!X17),(Datos!N17-Datos!X17)/Datos!X17," - ")</f>
        <v>6.2091503267973858E-2</v>
      </c>
      <c r="H17" s="458">
        <f>IF(ISNUMBER(((NºAsuntos!G17/NºAsuntos!E17)-Datos!BD17)/Datos!BD17),((NºAsuntos!G17/NºAsuntos!E17)-Datos!BD17)/Datos!BD17," - ")</f>
        <v>4.9879324215607375E-2</v>
      </c>
      <c r="I17" s="459">
        <f>IF(ISNUMBER(((NºAsuntos!I17/NºAsuntos!G17)-Datos!BE17)/Datos!BE17),((NºAsuntos!I17/NºAsuntos!G17)-Datos!BE17)/Datos!BE17," - ")</f>
        <v>-0.1386441736957201</v>
      </c>
      <c r="J17" s="464">
        <f>IF(ISNUMBER((('Resol  Asuntos'!D17/NºAsuntos!G17)-Datos!BF17)/Datos!BF17),(('Resol  Asuntos'!D17/NºAsuntos!G17)-Datos!BF17)/Datos!BF17," - ")</f>
        <v>-0.68391608391608394</v>
      </c>
      <c r="K17" s="465">
        <f>IF(ISNUMBER((((NºAsuntos!C17+NºAsuntos!E17)/NºAsuntos!G17)-Datos!BG17)/Datos!BG17),(((NºAsuntos!C17+NºAsuntos!E17)/NºAsuntos!G17)-Datos!BG17)/Datos!BG17," - ")</f>
        <v>-4.1636176001501046E-2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8.3022884513038853E-2</v>
      </c>
      <c r="C18" s="858">
        <f>IF(ISNUMBER(
   IF(Criterios!B14="SI",(Datos!J18-Datos!T18)/Datos!T18,(Datos!J18+Datos!AD18-(Datos!T18+Datos!AL18))/(Datos!T18+Datos!AL18))
     ),IF(Criterios!B14="SI",(Datos!J18-Datos!T18)/Datos!T18,(Datos!J18+Datos!AD18-(Datos!T18+Datos!AL18))/(Datos!T18+Datos!AL18))," - ")</f>
        <v>0.16569022336140607</v>
      </c>
      <c r="D18" s="858">
        <f>IF(ISNUMBER(
   IF(Criterios!B14="SI",(Datos!K18-Datos!U18)/Datos!U18,(Datos!K18+Datos!AE18-(Datos!U18+Datos!AM18))/(Datos!U18+Datos!AM18))
     ),IF(Criterios!B14="SI",(Datos!K18-Datos!U18)/Datos!U18,(Datos!K18+Datos!AE18-(Datos!U18+Datos!AM18))/(Datos!U18+Datos!AM18))," - ")</f>
        <v>0.11441423821631136</v>
      </c>
      <c r="E18" s="858">
        <f>IF(ISNUMBER(
   IF(Criterios!B14="SI",(Datos!L18-Datos!V18)/Datos!V18,(Datos!L18+Datos!AF18-(Datos!V18+Datos!AN18))/(Datos!V18+Datos!AN18))
     ),IF(Criterios!B14="SI",(Datos!L18-Datos!V18)/Datos!V18,(Datos!L18+Datos!AF18-(Datos!V18+Datos!AN18))/(Datos!V18+Datos!AN18))," - ")</f>
        <v>0.15823095823095823</v>
      </c>
      <c r="F18" s="859">
        <f>IF(ISNUMBER((Datos!M18-Datos!W18)/Datos!W18),(Datos!M18-Datos!W18)/Datos!W18," - ")</f>
        <v>-1.5209125475285171E-2</v>
      </c>
      <c r="G18" s="860">
        <f>IF(ISNUMBER((Datos!N18-Datos!X18)/Datos!X18),(Datos!N18-Datos!X18)/Datos!X18," - ")</f>
        <v>4.9717912552891395E-2</v>
      </c>
      <c r="H18" s="860">
        <f>IF(ISNUMBER(((NºAsuntos!G18/NºAsuntos!E18)-Datos!BD18)/Datos!BD18),((NºAsuntos!G18/NºAsuntos!E18)-Datos!BD18)/Datos!BD18," - ")</f>
        <v>-4.3987659943852259E-2</v>
      </c>
      <c r="I18" s="860">
        <f>IF(ISNUMBER(((NºAsuntos!I18/NºAsuntos!G18)-Datos!BE18)/Datos!BE18),((NºAsuntos!I18/NºAsuntos!G18)-Datos!BE18)/Datos!BE18," - ")</f>
        <v>3.9318162413985412E-2</v>
      </c>
      <c r="J18" s="860">
        <f>IF(ISNUMBER((('Resol  Asuntos'!D18/NºAsuntos!G18)-Datos!BF18)/Datos!BF18),(('Resol  Asuntos'!D18/NºAsuntos!G18)-Datos!BF18)/Datos!BF18," - ")</f>
        <v>-0.11631524369166969</v>
      </c>
      <c r="K18" s="860">
        <f>IF(ISNUMBER((((NºAsuntos!C18+NºAsuntos!E18)/NºAsuntos!G18)-Datos!BG18)/Datos!BG18),(((NºAsuntos!C18+NºAsuntos!E18)/NºAsuntos!G18)-Datos!BG18)/Datos!BG18," - ")</f>
        <v>2.7024492901076495E-2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9.7812773403324588E-2</v>
      </c>
      <c r="C19" s="805">
        <f>IF(ISNUMBER(
   IF(J_V="SI",(Datos!J19-Datos!T19)/Datos!T19,(Datos!J19+Datos!Z19-(Datos!T19+Datos!AH19))/(Datos!T19+Datos!AH19))
     ),IF(J_V="SI",(Datos!J19-Datos!T19)/Datos!T19,(Datos!J19+Datos!Z19-(Datos!T19+Datos!AH19))/(Datos!T19+Datos!AH19))," - ")</f>
        <v>9.6013313074307216E-2</v>
      </c>
      <c r="D19" s="805">
        <f>IF(ISNUMBER(
   IF(J_V="SI",(Datos!K19-Datos!U19)/Datos!U19,(Datos!K19+Datos!AA19-(Datos!U19+Datos!AI19))/(Datos!U19+Datos!AI19))
     ),IF(J_V="SI",(Datos!K19-Datos!U19)/Datos!U19,(Datos!K19+Datos!AA19-(Datos!U19+Datos!AI19))/(Datos!U19+Datos!AI19))," - ")</f>
        <v>8.8853112542164978E-2</v>
      </c>
      <c r="E19" s="805">
        <f>IF(ISNUMBER(
   IF(J_V="SI",(Datos!L19-Datos!V19)/Datos!V19,(Datos!L19+Datos!AB19-(Datos!V19+Datos!AJ19))/(Datos!V19+Datos!AJ19))
     ),IF(J_V="SI",(Datos!L19-Datos!V19)/Datos!V19,(Datos!L19+Datos!AB19-(Datos!V19+Datos!AJ19))/(Datos!V19+Datos!AJ19))," - ")</f>
        <v>9.2604399107427474E-2</v>
      </c>
      <c r="F19" s="806">
        <f>IF(ISNUMBER((Datos!M19-Datos!W19)/Datos!W19),(Datos!M19-Datos!W19)/Datos!W19," - ")</f>
        <v>3.8205980066445183E-2</v>
      </c>
      <c r="G19" s="807">
        <f>IF(ISNUMBER((Datos!N19-Datos!X19)/Datos!X19),(Datos!N19-Datos!X19)/Datos!X19," - ")</f>
        <v>8.9991296779808536E-2</v>
      </c>
      <c r="H19" s="808">
        <f>IF(ISNUMBER((Tasas!B19-Datos!BD19)/Datos!BD19),(Tasas!B19-Datos!BD19)/Datos!BD19," - ")</f>
        <v>-6.5329503270885386E-3</v>
      </c>
      <c r="I19" s="809">
        <f>IF(ISNUMBER((Tasas!C19-Datos!BE19)/Datos!BE19),(Tasas!C19-Datos!BE19)/Datos!BE19," - ")</f>
        <v>3.4451722845373245E-3</v>
      </c>
      <c r="J19" s="810">
        <f>IF(ISNUMBER((Tasas!D19-Datos!BF19)/Datos!BF19),(Tasas!D19-Datos!BF19)/Datos!BF19," - ")</f>
        <v>-0.22725033517572404</v>
      </c>
      <c r="K19" s="810">
        <f>IF(ISNUMBER((Tasas!E19-Datos!BG19)/Datos!BG19),(Tasas!E19-Datos!BG19)/Datos!BG19," - ")</f>
        <v>7.0593626532513172E-3</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GVt8MxKetnv6gXYqPfdeJB9XKeMIoWNK4Hgpv9PPWYGq1IyBH+POsyRXVCpgDKcyxBDfLqz7JPxovQeb2TfCg==" saltValue="Nmz6Qi1oMBeT8614nW0L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LUGO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1.0069124423963134</v>
      </c>
      <c r="C9" s="446">
        <f>IF(ISNUMBER(NºAsuntos!I9/NºAsuntos!G9),NºAsuntos!I9/NºAsuntos!G9," - ")</f>
        <v>0.54946829990577462</v>
      </c>
      <c r="D9" s="447">
        <f>IF(ISNUMBER('Resol  Asuntos'!D9/NºAsuntos!G9),'Resol  Asuntos'!D9/NºAsuntos!G9," - ")</f>
        <v>0.28779108897563604</v>
      </c>
      <c r="E9" s="448">
        <f>IF(ISNUMBER((NºAsuntos!C9+NºAsuntos!E9)/NºAsuntos!G9),(NºAsuntos!C9+NºAsuntos!E9)/NºAsuntos!G9," - ")</f>
        <v>1.5489298694306097</v>
      </c>
      <c r="G9" s="466"/>
    </row>
    <row r="10" spans="1:7">
      <c r="A10" s="405" t="str">
        <f>Datos!A10</f>
        <v>Jdos. Violencia contra la mujer</v>
      </c>
      <c r="B10" s="445">
        <f>IF(ISNUMBER(NºAsuntos!G10/NºAsuntos!E10),NºAsuntos!G10/NºAsuntos!E10," - ")</f>
        <v>1.3898305084745763</v>
      </c>
      <c r="C10" s="446">
        <f>IF(ISNUMBER(NºAsuntos!I10/NºAsuntos!G10),NºAsuntos!I10/NºAsuntos!G10," - ")</f>
        <v>0.8902439024390244</v>
      </c>
      <c r="D10" s="447">
        <f>IF(ISNUMBER('Resol  Asuntos'!D10/NºAsuntos!G10),'Resol  Asuntos'!D10/NºAsuntos!G10," - ")</f>
        <v>0.63414634146341464</v>
      </c>
      <c r="E10" s="448">
        <f>IF(ISNUMBER((NºAsuntos!C10+NºAsuntos!E10)/NºAsuntos!G10),(NºAsuntos!C10+NºAsuntos!E10)/NºAsuntos!G10," - ")</f>
        <v>1.8902439024390243</v>
      </c>
      <c r="G10" s="466"/>
    </row>
    <row r="11" spans="1:7">
      <c r="A11" s="405" t="str">
        <f>Datos!A11</f>
        <v xml:space="preserve">Jdos. Familia                                   </v>
      </c>
      <c r="B11" s="445">
        <f>IF(ISNUMBER(NºAsuntos!G11/NºAsuntos!E11),NºAsuntos!G11/NºAsuntos!E11," - ")</f>
        <v>0.73790022338049144</v>
      </c>
      <c r="C11" s="446">
        <f>IF(ISNUMBER(NºAsuntos!I11/NºAsuntos!G11),NºAsuntos!I11/NºAsuntos!G11," - ")</f>
        <v>0.34409687184661958</v>
      </c>
      <c r="D11" s="447">
        <f>IF(ISNUMBER('Resol  Asuntos'!D11/NºAsuntos!G11),'Resol  Asuntos'!D11/NºAsuntos!G11," - ")</f>
        <v>0.15943491422805248</v>
      </c>
      <c r="E11" s="448">
        <f>IF(ISNUMBER((NºAsuntos!C11+NºAsuntos!E11)/NºAsuntos!G11),(NºAsuntos!C11+NºAsuntos!E11)/NºAsuntos!G11," - ")</f>
        <v>1.355196770938446</v>
      </c>
      <c r="G11" s="466"/>
    </row>
    <row r="12" spans="1:7" ht="13.5" thickBot="1">
      <c r="A12" s="405" t="str">
        <f>Datos!A12</f>
        <v xml:space="preserve">Jdos. 1ª Instª. e Instr.                        </v>
      </c>
      <c r="B12" s="445">
        <f>IF(ISNUMBER(NºAsuntos!G12/NºAsuntos!E12),NºAsuntos!G12/NºAsuntos!E12," - ")</f>
        <v>3</v>
      </c>
      <c r="C12" s="446">
        <f>IF(ISNUMBER(NºAsuntos!I12/NºAsuntos!G12),NºAsuntos!I12/NºAsuntos!G12," - ")</f>
        <v>0.66666666666666663</v>
      </c>
      <c r="D12" s="447">
        <f>IF(ISNUMBER('Resol  Asuntos'!D12/NºAsuntos!G12),'Resol  Asuntos'!D12/NºAsuntos!G12," - ")</f>
        <v>0</v>
      </c>
      <c r="E12" s="448">
        <f>IF(ISNUMBER((NºAsuntos!C12+NºAsuntos!E12)/NºAsuntos!G12),(NºAsuntos!C12+NºAsuntos!E12)/NºAsuntos!G12," - ")</f>
        <v>5</v>
      </c>
      <c r="G12" s="466"/>
    </row>
    <row r="13" spans="1:7" ht="14.25" thickTop="1" thickBot="1">
      <c r="A13" s="851" t="str">
        <f>Datos!A13</f>
        <v>TOTAL</v>
      </c>
      <c r="B13" s="861">
        <f>IF(ISNUMBER(NºAsuntos!G13/NºAsuntos!E13),NºAsuntos!G13/NºAsuntos!E13," - ")</f>
        <v>0.96856850017082341</v>
      </c>
      <c r="C13" s="862">
        <f>IF(ISNUMBER(NºAsuntos!I13/NºAsuntos!G13),NºAsuntos!I13/NºAsuntos!G13," - ")</f>
        <v>0.52886537330981775</v>
      </c>
      <c r="D13" s="863">
        <f>IF(ISNUMBER('Resol  Asuntos'!D13/NºAsuntos!G13),'Resol  Asuntos'!D13/NºAsuntos!G13," - ")</f>
        <v>0.27607289829512049</v>
      </c>
      <c r="E13" s="864">
        <f>IF(ISNUMBER((NºAsuntos!C13+NºAsuntos!E13)/NºAsuntos!G13),(NºAsuntos!C13+NºAsuntos!E13)/NºAsuntos!G13," - ")</f>
        <v>1.5308641975308641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0.88441271460139381</v>
      </c>
      <c r="C15" s="446">
        <f>IF(ISNUMBER(NºAsuntos!I15/NºAsuntos!G15),NºAsuntos!I15/NºAsuntos!G15," - ")</f>
        <v>0.41783586392465882</v>
      </c>
      <c r="D15" s="447">
        <f>IF(ISNUMBER('Resol  Asuntos'!D15/NºAsuntos!G15),'Resol  Asuntos'!D15/NºAsuntos!G15," - ")</f>
        <v>0.14760714972131464</v>
      </c>
      <c r="E15" s="448">
        <f>IF(ISNUMBER((NºAsuntos!C15+NºAsuntos!E15)/NºAsuntos!G15),(NºAsuntos!C15+NºAsuntos!E15)/NºAsuntos!G15," - ")</f>
        <v>1.4845281568325965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1.0227272727272727</v>
      </c>
      <c r="C17" s="446">
        <f>IF(ISNUMBER(NºAsuntos!I17/NºAsuntos!G17),NºAsuntos!I17/NºAsuntos!G17," - ")</f>
        <v>0.36969696969696969</v>
      </c>
      <c r="D17" s="447">
        <f>IF(ISNUMBER('Resol  Asuntos'!D17/NºAsuntos!G17),'Resol  Asuntos'!D17/NºAsuntos!G17," - ")</f>
        <v>1.8181818181818181E-2</v>
      </c>
      <c r="E17" s="448">
        <f>IF(ISNUMBER((NºAsuntos!C17+NºAsuntos!E17)/NºAsuntos!G17),(NºAsuntos!C17+NºAsuntos!E17)/NºAsuntos!G17," - ")</f>
        <v>1.3696969696969696</v>
      </c>
      <c r="G17" s="466"/>
    </row>
    <row r="18" spans="1:7" ht="14.25" thickTop="1" thickBot="1">
      <c r="A18" s="851" t="str">
        <f>Datos!A18</f>
        <v>TOTAL</v>
      </c>
      <c r="B18" s="861">
        <f>IF(ISNUMBER(NºAsuntos!G18/NºAsuntos!E18),NºAsuntos!G18/NºAsuntos!E18," - ")</f>
        <v>0.89492696717449349</v>
      </c>
      <c r="C18" s="862">
        <f>IF(ISNUMBER(NºAsuntos!I18/NºAsuntos!G18),NºAsuntos!I18/NºAsuntos!G18," - ")</f>
        <v>0.41365391365391363</v>
      </c>
      <c r="D18" s="865">
        <f>IF(ISNUMBER('Resol  Asuntos'!D18/NºAsuntos!G18),'Resol  Asuntos'!D18/NºAsuntos!G18," - ")</f>
        <v>0.13636363636363635</v>
      </c>
      <c r="E18" s="864">
        <f>IF(ISNUMBER((NºAsuntos!C18+NºAsuntos!E18)/NºAsuntos!G18),(NºAsuntos!C18+NºAsuntos!E18)/NºAsuntos!G18," - ")</f>
        <v>1.4745524745524745</v>
      </c>
      <c r="G18" s="466"/>
    </row>
    <row r="19" spans="1:7" ht="15.75" customHeight="1" thickTop="1" thickBot="1">
      <c r="A19" s="796" t="str">
        <f>Datos!A19</f>
        <v>TOTAL JURISDICCIONES</v>
      </c>
      <c r="B19" s="811">
        <f>IF(ISNUMBER(NºAsuntos!G19/NºAsuntos!E19),NºAsuntos!G19/NºAsuntos!E19," - ")</f>
        <v>0.93761552680221816</v>
      </c>
      <c r="C19" s="812">
        <f>IF(ISNUMBER(NºAsuntos!I19/NºAsuntos!G19),NºAsuntos!I19/NºAsuntos!G19," - ")</f>
        <v>0.48264451172287542</v>
      </c>
      <c r="D19" s="813">
        <f>IF(ISNUMBER('Resol  Asuntos'!D19/NºAsuntos!G19),'Resol  Asuntos'!D19/NºAsuntos!G19," - ")</f>
        <v>0.22002393860452016</v>
      </c>
      <c r="E19" s="814">
        <f>IF(ISNUMBER((NºAsuntos!C19+NºAsuntos!E19)/NºAsuntos!G19),(NºAsuntos!C19+NºAsuntos!E19)/NºAsuntos!G19," - ")</f>
        <v>1.50827290009153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S6Vs2h+bRbysDbwsG29SGKTSF5E+NIkFMXYmLMnPzfoZs1+V/1pMkXavwDjJkuUd8FQRY+r8g1x+4utyhN8Xg==" saltValue="OLqdZa3Iac7LolSPs0fr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LUGO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582</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831</v>
      </c>
      <c r="AX5" s="1249" t="s">
        <v>317</v>
      </c>
      <c r="AY5" s="1249" t="s">
        <v>748</v>
      </c>
      <c r="AZ5" s="1249" t="s">
        <v>749</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242</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1723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1911</v>
      </c>
      <c r="Y9" s="337">
        <f>SUM(W9:X9)</f>
        <v>1911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4846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2138</v>
      </c>
      <c r="AJ9" s="232" t="str">
        <f>IF(ISNUMBER(Datos!BW9),Datos!BW9," - ")</f>
        <v xml:space="preserve"> - </v>
      </c>
      <c r="AK9" s="231" t="str">
        <f>IF(ISNUMBER(Datos!BX9),Datos!BX9," - ")</f>
        <v xml:space="preserve"> - </v>
      </c>
      <c r="AL9" s="246">
        <f>IF(ISNUMBER(NºAsuntos!G9/NºAsuntos!E9),NºAsuntos!G9/NºAsuntos!E9," - ")</f>
        <v>1.0069124423963134</v>
      </c>
      <c r="AM9" s="263">
        <f>IF(ISNUMBER(((NºAsuntos!I9/NºAsuntos!G9)*11)/factor_trimestre),((NºAsuntos!I9/NºAsuntos!G9)*11)/factor_trimestre," - ")</f>
        <v>6.0441512989635209</v>
      </c>
      <c r="AN9" s="247">
        <f>IF(ISNUMBER('Resol  Asuntos'!D9/NºAsuntos!G9),'Resol  Asuntos'!D9/NºAsuntos!G9," - ")</f>
        <v>0.28779108897563604</v>
      </c>
      <c r="AO9" s="248">
        <f>IF(ISNUMBER((NºAsuntos!C9+NºAsuntos!E9)/NºAsuntos!G9),(NºAsuntos!C9+NºAsuntos!E9)/NºAsuntos!G9," - ")</f>
        <v>1.5489298694306097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0</v>
      </c>
      <c r="F10" s="228">
        <f>IF(ISNUMBER(Datos!L10+Datos!K10-Datos!J10-K10),Datos!L10+Datos!K10-Datos!J10-K10," - ")</f>
        <v>96</v>
      </c>
      <c r="G10" s="336">
        <f>IF(ISNUMBER(Datos!I10),Datos!I10," - ")</f>
        <v>96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82</v>
      </c>
      <c r="X10" s="229">
        <f>IF(ISNUMBER(Datos!Q10),Datos!Q10," - ")</f>
        <v>0</v>
      </c>
      <c r="Y10" s="337">
        <f t="shared" ref="Y10:Y12" si="0">SUM(W10:X10)</f>
        <v>82</v>
      </c>
      <c r="Z10" s="338" t="str">
        <f>IF(ISNUMBER(Datos!CC10),Datos!CC10," - ")</f>
        <v xml:space="preserve"> - </v>
      </c>
      <c r="AA10" s="335">
        <f>IF(ISNUMBER(Datos!L10),Datos!L10,"-")</f>
        <v>73</v>
      </c>
      <c r="AB10" s="337">
        <f>IF(ISNUMBER(Datos!R10),Datos!R10," - ")</f>
        <v>53</v>
      </c>
      <c r="AC10" s="337">
        <f t="shared" ref="AC10:AC12" si="1">IF(ISNUMBER(AA10+AB10),AA10+AB10," - ")</f>
        <v>126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52</v>
      </c>
      <c r="AJ10" s="234" t="str">
        <f>IF(ISNUMBER(Datos!BW10),Datos!BW10," - ")</f>
        <v xml:space="preserve"> - </v>
      </c>
      <c r="AK10" s="235" t="str">
        <f>IF(ISNUMBER(Datos!BX10),Datos!BX10," - ")</f>
        <v xml:space="preserve"> - </v>
      </c>
      <c r="AL10" s="246">
        <f>IF(ISNUMBER(NºAsuntos!G10/NºAsuntos!E10),NºAsuntos!G10/NºAsuntos!E10," - ")</f>
        <v>1.3898305084745763</v>
      </c>
      <c r="AM10" s="263">
        <f>IF(ISNUMBER(((NºAsuntos!I10/NºAsuntos!G10)*11)/factor_trimestre),((NºAsuntos!I10/NºAsuntos!G10)*11)/factor_trimestre," - ")</f>
        <v>9.7926829268292686</v>
      </c>
      <c r="AN10" s="247">
        <f>IF(ISNUMBER('Resol  Asuntos'!D10/NºAsuntos!G10),'Resol  Asuntos'!D10/NºAsuntos!G10," - ")</f>
        <v>0.63414634146341464</v>
      </c>
      <c r="AO10" s="248">
        <f>IF(ISNUMBER((NºAsuntos!C10+NºAsuntos!E10)/NºAsuntos!G10),(NºAsuntos!C10+NºAsuntos!E10)/NºAsuntos!G10," - ")</f>
        <v>1.8902439024390243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242</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v>
      </c>
      <c r="Y11" s="337">
        <f t="shared" si="0"/>
        <v>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158</v>
      </c>
      <c r="AJ11" s="234" t="str">
        <f>IF(ISNUMBER(Datos!BW11),Datos!BW11," - ")</f>
        <v xml:space="preserve"> - </v>
      </c>
      <c r="AK11" s="235" t="str">
        <f>IF(ISNUMBER(Datos!BX11),Datos!BX11," - ")</f>
        <v xml:space="preserve"> - </v>
      </c>
      <c r="AL11" s="246">
        <f>IF(ISNUMBER(NºAsuntos!G11/NºAsuntos!E11),NºAsuntos!G11/NºAsuntos!E11," - ")</f>
        <v>0.73790022338049144</v>
      </c>
      <c r="AM11" s="263">
        <f>IF(ISNUMBER(((NºAsuntos!I11/NºAsuntos!G11)*11)/factor_trimestre),((NºAsuntos!I11/NºAsuntos!G11)*11)/factor_trimestre," - ")</f>
        <v>3.7850655903128154</v>
      </c>
      <c r="AN11" s="247">
        <f>IF(ISNUMBER('Resol  Asuntos'!D11/NºAsuntos!G11),'Resol  Asuntos'!D11/NºAsuntos!G11," - ")</f>
        <v>0.15943491422805248</v>
      </c>
      <c r="AO11" s="248">
        <f>IF(ISNUMBER((NºAsuntos!C11+NºAsuntos!E11)/NºAsuntos!G11),(NºAsuntos!C11+NºAsuntos!E11)/NºAsuntos!G11," - ")</f>
        <v>1.355196770938446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v>
      </c>
      <c r="Y12" s="337">
        <f t="shared" si="0"/>
        <v>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3</v>
      </c>
      <c r="AM12" s="263">
        <f>IF(ISNUMBER(((NºAsuntos!I12/NºAsuntos!G12)*11)/factor_trimestre),((NºAsuntos!I12/NºAsuntos!G12)*11)/factor_trimestre," - ")</f>
        <v>7.333333333333333</v>
      </c>
      <c r="AN12" s="247">
        <f>IF(ISNUMBER('Resol  Asuntos'!D12/NºAsuntos!G12),'Resol  Asuntos'!D12/NºAsuntos!G12," - ")</f>
        <v>0</v>
      </c>
      <c r="AO12" s="248">
        <f>IF(ISNUMBER((NºAsuntos!C12+NºAsuntos!E12)/NºAsuntos!G12),(NºAsuntos!C12+NºAsuntos!E12)/NºAsuntos!G12," - ")</f>
        <v>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96</v>
      </c>
      <c r="G13" s="869">
        <f t="shared" si="3"/>
        <v>96</v>
      </c>
      <c r="H13" s="868">
        <f t="shared" si="3"/>
        <v>0</v>
      </c>
      <c r="I13" s="870">
        <f t="shared" si="3"/>
        <v>0</v>
      </c>
      <c r="J13" s="870">
        <f t="shared" si="3"/>
        <v>0</v>
      </c>
      <c r="K13" s="870">
        <f t="shared" si="3"/>
        <v>0</v>
      </c>
      <c r="L13" s="870">
        <f t="shared" si="3"/>
        <v>1753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82</v>
      </c>
      <c r="X13" s="870">
        <f t="shared" si="4"/>
        <v>1933</v>
      </c>
      <c r="Y13" s="871">
        <f t="shared" si="4"/>
        <v>2015</v>
      </c>
      <c r="Z13" s="871">
        <f t="shared" si="4"/>
        <v>0</v>
      </c>
      <c r="AA13" s="871">
        <f t="shared" si="4"/>
        <v>73</v>
      </c>
      <c r="AB13" s="871">
        <f t="shared" si="4"/>
        <v>5303</v>
      </c>
      <c r="AC13" s="871">
        <f t="shared" si="4"/>
        <v>126</v>
      </c>
      <c r="AD13" s="871">
        <f t="shared" si="4"/>
        <v>0</v>
      </c>
      <c r="AE13" s="875">
        <f t="shared" si="4"/>
        <v>0</v>
      </c>
      <c r="AF13" s="868">
        <f t="shared" si="4"/>
        <v>0</v>
      </c>
      <c r="AG13" s="876">
        <f t="shared" si="4"/>
        <v>0</v>
      </c>
      <c r="AH13" s="873">
        <f t="shared" si="4"/>
        <v>0</v>
      </c>
      <c r="AI13" s="868">
        <f t="shared" si="4"/>
        <v>2348</v>
      </c>
      <c r="AJ13" s="870">
        <f t="shared" si="4"/>
        <v>0</v>
      </c>
      <c r="AK13" s="873">
        <f>SUBTOTAL(9,AK9:AK12)</f>
        <v>0</v>
      </c>
      <c r="AL13" s="877">
        <f>IF(ISNUMBER(NºAsuntos!G13/NºAsuntos!E13),NºAsuntos!G13/NºAsuntos!E13," - ")</f>
        <v>0.96856850017082341</v>
      </c>
      <c r="AM13" s="877">
        <f>IF(ISNUMBER(((NºAsuntos!I13/NºAsuntos!G13)*11)/factor_trimestre),((NºAsuntos!I13/NºAsuntos!G13)*11)/factor_trimestre," - ")</f>
        <v>5.8175191064079952</v>
      </c>
      <c r="AN13" s="878">
        <f>IF(ISNUMBER('Resol  Asuntos'!D13/NºAsuntos!G13),'Resol  Asuntos'!D13/NºAsuntos!G13," - ")</f>
        <v>0.27607289829512049</v>
      </c>
      <c r="AO13" s="879">
        <f>IF(ISNUMBER((NºAsuntos!C13+NºAsuntos!E13)/NºAsuntos!G13),(NºAsuntos!C13+NºAsuntos!E13)/NºAsuntos!G13," - ")</f>
        <v>1.5308641975308641</v>
      </c>
      <c r="AP13" s="880" t="str">
        <f t="shared" si="2"/>
        <v xml:space="preserve"> - </v>
      </c>
      <c r="AQ13" s="880">
        <f>IF(ISNUMBER((H13-W13+K13)/(F13)),(H13-W13+K13)/(F13)," - ")</f>
        <v>-0.85416666666666663</v>
      </c>
      <c r="AR13" s="881">
        <f>IF(ISNUMBER((Datos!P13-Datos!Q13)/(Datos!R13-Datos!P13+Datos!Q13)),(Datos!P13-Datos!Q13)/(Datos!R13-Datos!P13+Datos!Q13)," - ")</f>
        <v>-3.2828743388655844E-2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392</v>
      </c>
      <c r="C15" s="163" t="str">
        <f>Datos!A15</f>
        <v xml:space="preserve">Jdos. Instrucción                               </v>
      </c>
      <c r="D15" s="163"/>
      <c r="E15" s="1028">
        <f>IF(ISNUMBER(Datos!AQ15),Datos!AQ15," - ")</f>
        <v>3</v>
      </c>
      <c r="F15" s="228">
        <f>IF(ISNUMBER(AA15+W15-Datos!J15-K15),AA15+W15-Datos!J15-K15," - ")</f>
        <v>1494</v>
      </c>
      <c r="G15" s="336">
        <f>IF(ISNUMBER(IF(D_I="SI",Datos!I15,Datos!I15+Datos!AC15)),IF(D_I="SI",Datos!I15,Datos!I15+Datos!AC15)," - ")</f>
        <v>1841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5203</v>
      </c>
      <c r="X15" s="229">
        <f>IF(ISNUMBER(Datos!Q15),Datos!Q15," - ")</f>
        <v>230</v>
      </c>
      <c r="Y15" s="337">
        <f>SUM(W15)</f>
        <v>5203</v>
      </c>
      <c r="Z15" s="338" t="str">
        <f>IF(ISNUMBER(Datos!CC15),Datos!CC15," - ")</f>
        <v xml:space="preserve"> - </v>
      </c>
      <c r="AA15" s="335">
        <f>IF(ISNUMBER(IF(D_I="SI",Datos!L15,Datos!L15+Datos!AF15)),IF(D_I="SI",Datos!L15,Datos!L15+Datos!AF15)," - ")</f>
        <v>2174</v>
      </c>
      <c r="AB15" s="337">
        <f>IF(ISNUMBER(Datos!R15),Datos!R15," - ")</f>
        <v>230</v>
      </c>
      <c r="AC15" s="337">
        <f t="shared" ref="AC15:AC17" si="6">IF(ISNUMBER(AA15+AB15),AA15+AB15," - ")</f>
        <v>2404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768</v>
      </c>
      <c r="AJ15" s="234" t="str">
        <f>IF(ISNUMBER(Datos!BW15),Datos!BW15," - ")</f>
        <v xml:space="preserve"> - </v>
      </c>
      <c r="AK15" s="235" t="str">
        <f>IF(ISNUMBER(Datos!BX15),Datos!BX15," - ")</f>
        <v xml:space="preserve"> - </v>
      </c>
      <c r="AL15" s="246">
        <f>IF(ISNUMBER(NºAsuntos!G15/NºAsuntos!E15),NºAsuntos!G15/NºAsuntos!E15," - ")</f>
        <v>0.88441271460139381</v>
      </c>
      <c r="AM15" s="263">
        <f>IF(ISNUMBER(((NºAsuntos!I15/NºAsuntos!G15)*11)/factor_trimestre),((NºAsuntos!I15/NºAsuntos!G15)*11)/factor_trimestre," - ")</f>
        <v>4.5961945031712474</v>
      </c>
      <c r="AN15" s="247">
        <f>IF(ISNUMBER('Resol  Asuntos'!D15/NºAsuntos!G15),'Resol  Asuntos'!D15/NºAsuntos!G15," - ")</f>
        <v>0.14760714972131464</v>
      </c>
      <c r="AO15" s="248">
        <f>IF(ISNUMBER((NºAsuntos!C15+NºAsuntos!E15)/NºAsuntos!G15),(NºAsuntos!C15+NºAsuntos!E15)/NºAsuntos!G15," - ")</f>
        <v>1.4845281568325965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495</v>
      </c>
      <c r="X17" s="229">
        <f>IF(ISNUMBER(Datos!Q17),Datos!Q17," - ")</f>
        <v>0</v>
      </c>
      <c r="Y17" s="337">
        <f t="shared" si="7"/>
        <v>495</v>
      </c>
      <c r="Z17" s="338" t="str">
        <f>IF(ISNUMBER(Datos!CC17),Datos!CC17," - ")</f>
        <v xml:space="preserve"> - </v>
      </c>
      <c r="AA17" s="335">
        <f>IF(ISNUMBER(Datos!L17),Datos!L17,"-")</f>
        <v>183</v>
      </c>
      <c r="AB17" s="337">
        <f>IF(ISNUMBER(Datos!R17),Datos!R17," - ")</f>
        <v>0</v>
      </c>
      <c r="AC17" s="337">
        <f t="shared" si="6"/>
        <v>183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1.0227272727272727</v>
      </c>
      <c r="AM17" s="263">
        <f>IF(ISNUMBER(((NºAsuntos!I17/NºAsuntos!G17)*11)/factor_trimestre),((NºAsuntos!I17/NºAsuntos!G17)*11)/factor_trimestre," - ")</f>
        <v>4.0666666666666664</v>
      </c>
      <c r="AN17" s="247">
        <f>IF(ISNUMBER('Resol  Asuntos'!D17/NºAsuntos!G17),'Resol  Asuntos'!D17/NºAsuntos!G17," - ")</f>
        <v>1.8181818181818181E-2</v>
      </c>
      <c r="AO17" s="248">
        <f>IF(ISNUMBER((NºAsuntos!C17+NºAsuntos!E17)/NºAsuntos!G17),(NºAsuntos!C17+NºAsuntos!E17)/NºAsuntos!G17," - ")</f>
        <v>1.3696969696969696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1494</v>
      </c>
      <c r="G18" s="869">
        <f>SUBTOTAL(9,G15:G17)</f>
        <v>2035</v>
      </c>
      <c r="H18" s="868">
        <f t="shared" ref="H18:O18" si="10">SUBTOTAL(9,H14:H17)</f>
        <v>0</v>
      </c>
      <c r="I18" s="870">
        <f t="shared" si="10"/>
        <v>0</v>
      </c>
      <c r="J18" s="870">
        <f t="shared" si="10"/>
        <v>0</v>
      </c>
      <c r="K18" s="870">
        <f t="shared" si="10"/>
        <v>0</v>
      </c>
      <c r="L18" s="870">
        <f t="shared" si="10"/>
        <v>174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5698</v>
      </c>
      <c r="X18" s="870">
        <f t="shared" si="11"/>
        <v>230</v>
      </c>
      <c r="Y18" s="871">
        <f t="shared" si="11"/>
        <v>5698</v>
      </c>
      <c r="Z18" s="871">
        <f t="shared" si="11"/>
        <v>0</v>
      </c>
      <c r="AA18" s="871">
        <f t="shared" si="11"/>
        <v>2357</v>
      </c>
      <c r="AB18" s="871">
        <f t="shared" si="11"/>
        <v>230</v>
      </c>
      <c r="AC18" s="871">
        <f t="shared" si="11"/>
        <v>2587</v>
      </c>
      <c r="AD18" s="871">
        <f t="shared" si="11"/>
        <v>0</v>
      </c>
      <c r="AE18" s="875">
        <f t="shared" si="11"/>
        <v>0</v>
      </c>
      <c r="AF18" s="868">
        <f t="shared" si="11"/>
        <v>0</v>
      </c>
      <c r="AG18" s="876">
        <f t="shared" si="11"/>
        <v>0</v>
      </c>
      <c r="AH18" s="873">
        <f t="shared" si="11"/>
        <v>0</v>
      </c>
      <c r="AI18" s="868">
        <f t="shared" si="11"/>
        <v>777</v>
      </c>
      <c r="AJ18" s="870">
        <f t="shared" si="11"/>
        <v>0</v>
      </c>
      <c r="AK18" s="873">
        <f t="shared" si="11"/>
        <v>0</v>
      </c>
      <c r="AL18" s="877">
        <f>IF(ISNUMBER(NºAsuntos!G18/NºAsuntos!E18),NºAsuntos!G18/NºAsuntos!E18," - ")</f>
        <v>0.89492696717449349</v>
      </c>
      <c r="AM18" s="877">
        <f>IF(ISNUMBER(((NºAsuntos!I18/NºAsuntos!G18)*11)/factor_trimestre),((NºAsuntos!I18/NºAsuntos!G18)*11)/factor_trimestre," - ")</f>
        <v>4.5501930501930499</v>
      </c>
      <c r="AN18" s="878">
        <f>IF(ISNUMBER('Resol  Asuntos'!D18/NºAsuntos!G18),'Resol  Asuntos'!D18/NºAsuntos!G18," - ")</f>
        <v>0.13636363636363635</v>
      </c>
      <c r="AO18" s="879">
        <f>IF(ISNUMBER((NºAsuntos!C18+NºAsuntos!E18)/NºAsuntos!G18),(NºAsuntos!C18+NºAsuntos!E18)/NºAsuntos!G18," - ")</f>
        <v>1.4745524745524745</v>
      </c>
      <c r="AP18" s="880" t="str">
        <f t="shared" si="2"/>
        <v xml:space="preserve"> - </v>
      </c>
      <c r="AQ18" s="880">
        <f>IF(ISNUMBER((H18-W18+K18)/(F18)),(H18-W18+K18)/(F18)," - ")</f>
        <v>-3.8139223560910307</v>
      </c>
      <c r="AR18" s="881">
        <f>IF(ISNUMBER((Datos!P18-Datos!Q18)/(Datos!R18-Datos!P18+Datos!Q18)),(Datos!P18-Datos!Q18)/(Datos!R18-Datos!P18+Datos!Q18)," - ")</f>
        <v>-0.19580419580419581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1590</v>
      </c>
      <c r="G19" s="824">
        <f t="shared" si="13"/>
        <v>2131</v>
      </c>
      <c r="H19" s="823">
        <f t="shared" si="13"/>
        <v>0</v>
      </c>
      <c r="I19" s="825">
        <f t="shared" si="13"/>
        <v>0</v>
      </c>
      <c r="J19" s="825">
        <f t="shared" si="13"/>
        <v>0</v>
      </c>
      <c r="K19" s="884">
        <f t="shared" si="13"/>
        <v>0</v>
      </c>
      <c r="L19" s="825">
        <f t="shared" si="13"/>
        <v>1927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5780</v>
      </c>
      <c r="X19" s="824">
        <f t="shared" si="14"/>
        <v>2163</v>
      </c>
      <c r="Y19" s="831">
        <f t="shared" si="14"/>
        <v>7713</v>
      </c>
      <c r="Z19" s="831">
        <f t="shared" si="14"/>
        <v>0</v>
      </c>
      <c r="AA19" s="831">
        <f t="shared" si="14"/>
        <v>2430</v>
      </c>
      <c r="AB19" s="831">
        <f t="shared" si="14"/>
        <v>5533</v>
      </c>
      <c r="AC19" s="831">
        <f t="shared" si="14"/>
        <v>2713</v>
      </c>
      <c r="AD19" s="831">
        <f t="shared" si="14"/>
        <v>0</v>
      </c>
      <c r="AE19" s="833">
        <f t="shared" si="14"/>
        <v>0</v>
      </c>
      <c r="AF19" s="834">
        <f t="shared" si="14"/>
        <v>0</v>
      </c>
      <c r="AG19" s="835">
        <f t="shared" si="14"/>
        <v>0</v>
      </c>
      <c r="AH19" s="833">
        <f t="shared" si="14"/>
        <v>0</v>
      </c>
      <c r="AI19" s="823">
        <f t="shared" si="14"/>
        <v>3125</v>
      </c>
      <c r="AJ19" s="823">
        <f t="shared" si="14"/>
        <v>0</v>
      </c>
      <c r="AK19" s="833">
        <f t="shared" si="14"/>
        <v>0</v>
      </c>
      <c r="AL19" s="887">
        <f>IF(ISNUMBER(NºAsuntos!G19/NºAsuntos!E19),NºAsuntos!G19/NºAsuntos!E19," - ")</f>
        <v>0.93761552680221816</v>
      </c>
      <c r="AM19" s="888">
        <f>IF(ISNUMBER(((NºAsuntos!I19/NºAsuntos!G19)*11)/factor_trimestre),((NºAsuntos!I19/NºAsuntos!G19)*11)/factor_trimestre," - ")</f>
        <v>5.3090896289516296</v>
      </c>
      <c r="AN19" s="888">
        <f>IF(ISNUMBER('Resol  Asuntos'!D19/NºAsuntos!G19),'Resol  Asuntos'!D19/NºAsuntos!G19," - ")</f>
        <v>0.22002393860452016</v>
      </c>
      <c r="AO19" s="889">
        <f>IF(ISNUMBER((NºAsuntos!C19+NºAsuntos!E19)/NºAsuntos!G19),(NºAsuntos!C19+NºAsuntos!E19)/NºAsuntos!G19," - ")</f>
        <v>1.50827290009153</v>
      </c>
      <c r="AP19" s="890" t="str">
        <f t="shared" si="2"/>
        <v xml:space="preserve"> - </v>
      </c>
      <c r="AQ19" s="891">
        <f>IF(OR(ISNUMBER(FIND("01",Criterios!A8,1)),ISNUMBER(FIND("02",Criterios!A8,1)),ISNUMBER(FIND("03",Criterios!A8,1)),ISNUMBER(FIND("04",Criterios!A8,1))),(I19-W19+K19)/(F19-K19),(H19-W19+K19)/(F19-K19))</f>
        <v>-3.6352201257861636</v>
      </c>
      <c r="AR19" s="892">
        <f>IF(ISNUMBER((Datos!P19-Datos!Q19)/(Datos!R19-Datos!P19+Datos!Q19)),(Datos!P19-Datos!Q19)/(Datos!R19-Datos!P19+Datos!Q19)," - ")</f>
        <v>-4.0908302998786616E-2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2.3452078799117149</v>
      </c>
      <c r="F21" s="255">
        <f>IF(ISNUMBER(STDEV(F8:F18)),STDEV(F8:F18),"-")</f>
        <v>807.1356763270968</v>
      </c>
      <c r="G21" s="256">
        <f>IF(ISNUMBER(STDEV(G8:G18)),STDEV(G8:G18),"-")</f>
        <v>994.18876477256572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2875.3332850297547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957.87245646648739</v>
      </c>
      <c r="AJ21" s="255">
        <f t="shared" si="18"/>
        <v>0</v>
      </c>
      <c r="AK21" s="257">
        <f t="shared" si="18"/>
        <v>0</v>
      </c>
      <c r="AL21" s="252">
        <f t="shared" si="18"/>
        <v>0.73609551973829779</v>
      </c>
      <c r="AM21" s="253">
        <f t="shared" si="18"/>
        <v>2.0144715901453281</v>
      </c>
      <c r="AN21" s="253">
        <f t="shared" si="18"/>
        <v>0.20107972619296466</v>
      </c>
      <c r="AO21" s="254">
        <f t="shared" si="18"/>
        <v>1.2407080391932124</v>
      </c>
      <c r="AP21" s="294" t="str">
        <f t="shared" si="18"/>
        <v>-</v>
      </c>
      <c r="AQ21" s="295">
        <f t="shared" si="18"/>
        <v>2.0928633186474328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AWgSIGc9PBV1eAdytFQDwbuH/jfpuxm9c8KU8ewHEq44y3kk+2lS1ju6RFFEIDHRL1RGCV+DlGhnFYmXPM6aQ==" saltValue="/8wHAlucLP8GV0b0eA5h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LUGO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-2.2851919561243144E-2</v>
      </c>
      <c r="I9" s="353">
        <f>IF(ISNUMBER((Tasas!C9-Datos!BE9)/Datos!BE9),(Tasas!C9-Datos!BE9)/Datos!BE9," - ")</f>
        <v>4.5041065429897734E-2</v>
      </c>
      <c r="J9" s="352">
        <f>IF(ISNUMBER((Tasas!D9-Datos!BF9)/Datos!BF9),(Tasas!D9-Datos!BF9)/Datos!BF9," - ")</f>
        <v>-0.21526964523414241</v>
      </c>
      <c r="K9" s="354">
        <f>IF(ISNUMBER((Tasas!E9-Datos!BG9)/Datos!BG9),(Tasas!E9-Datos!BG9)/Datos!BG9," - ")</f>
        <v>1.3054573551976216E-2</v>
      </c>
      <c r="M9" t="e">
        <f>IF(Monitorios="SI",Datos!CE9,0)</f>
        <v>#REF!</v>
      </c>
      <c r="N9" t="e">
        <f>IF(Monitorios="SI",Datos!CF9,0)</f>
        <v>#REF!</v>
      </c>
      <c r="O9" t="e">
        <f>IF(Monitorios="SI",Datos!CG9,0)</f>
        <v>#REF!</v>
      </c>
      <c r="P9" t="e">
        <f>IF(Monitorios="SI",Datos!CH9,0)</f>
        <v>#REF!</v>
      </c>
      <c r="Q9">
        <f>IF(J_V="SI",0,Datos!AG9)</f>
        <v>159</v>
      </c>
      <c r="R9">
        <f>IF(J_V="SI",0,Datos!AH9)</f>
        <v>1261</v>
      </c>
      <c r="S9">
        <f>IF(J_V="SI",0,Datos!AI9)</f>
        <v>1182</v>
      </c>
      <c r="T9">
        <f>IF(J_V="SI",0,Datos!AJ9)</f>
        <v>242</v>
      </c>
    </row>
    <row r="10" spans="2:20" ht="14.25">
      <c r="B10" s="278" t="s">
        <v>242</v>
      </c>
      <c r="C10" s="7" t="str">
        <f>Datos!A10</f>
        <v>Jdos. Violencia contra la mujer</v>
      </c>
      <c r="D10" s="355">
        <f>IF(ISNUMBER((Datos!I10-Datos!S10)/Datos!S10),(Datos!I10-Datos!S10)/Datos!S10," - ")</f>
        <v>0.15662650602409639</v>
      </c>
      <c r="E10" s="351">
        <f>IF(ISNUMBER((Datos!J10-Datos!T10)/Datos!T10),(Datos!J10-Datos!T10)/Datos!T10," - ")</f>
        <v>-0.23376623376623376</v>
      </c>
      <c r="F10" s="351">
        <f>IF(ISNUMBER((Datos!K10-Datos!U10)/Datos!U10),(Datos!K10-Datos!U10)/Datos!U10," - ")</f>
        <v>0.28125</v>
      </c>
      <c r="G10" s="352">
        <f>IF(ISNUMBER((Datos!L10-Datos!V10)/Datos!V10),(Datos!L10-Datos!V10)/Datos!V10," - ")</f>
        <v>-0.23958333333333334</v>
      </c>
      <c r="H10" s="233">
        <f>IF(ISNUMBER((Datos!M10-Datos!W10)/Datos!W10),(Datos!M10-Datos!W10)/Datos!W10," - ")</f>
        <v>0.5757575757575758</v>
      </c>
      <c r="I10" s="353">
        <f>IF(ISNUMBER((Tasas!C10-Datos!BE10)/Datos!BE10),(Tasas!C10-Datos!BE10)/Datos!BE10," - ")</f>
        <v>-0.4065040650406504</v>
      </c>
      <c r="J10" s="352">
        <f>IF(ISNUMBER((Tasas!D10-Datos!BF10)/Datos!BF10),(Tasas!D10-Datos!BF10)/Datos!BF10," - ")</f>
        <v>0.22985957132298598</v>
      </c>
      <c r="K10" s="354">
        <f>IF(ISNUMBER((Tasas!E10-Datos!BG10)/Datos!BG10),(Tasas!E10-Datos!BG10)/Datos!BG10," - ")</f>
        <v>-0.24390243902439029</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f>IF(ISNUMBER((Tasas!C12-Datos!BE12)/Datos!BE12),(Tasas!C12-Datos!BE12)/Datos!BE12," - ")</f>
        <v>-0.33333333333333337</v>
      </c>
      <c r="J12" s="352">
        <f>IF(ISNUMBER((Tasas!D12-Datos!BF12)/Datos!BF12),(Tasas!D12-Datos!BF12)/Datos!BF12," - ")</f>
        <v>-1</v>
      </c>
      <c r="K12" s="354">
        <f>IF(ISNUMBER((Tasas!E12-Datos!BG12)/Datos!BG12),(Tasas!E12-Datos!BG12)/Datos!BG12," - ")</f>
        <v>1.5</v>
      </c>
      <c r="M12" t="e">
        <f>IF(Monitorios="SI",Datos!CE12,0)</f>
        <v>#REF!</v>
      </c>
      <c r="N12" t="e">
        <f>IF(Monitorios="SI",Datos!CF12,0)</f>
        <v>#REF!</v>
      </c>
      <c r="O12" t="e">
        <f>IF(Monitorios="SI",Datos!CG12,0)</f>
        <v>#REF!</v>
      </c>
      <c r="P12" t="e">
        <f>IF(Monitorios="SI",Datos!CH12,0)</f>
        <v>#REF!</v>
      </c>
      <c r="Q12">
        <f>IF(J_V="SI",0,Datos!AG12)</f>
        <v>6</v>
      </c>
      <c r="R12">
        <f>IF(J_V="SI",0,Datos!AH12)</f>
        <v>2</v>
      </c>
      <c r="S12">
        <f>IF(J_V="SI",0,Datos!AI12)</f>
        <v>7</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5.7181449797388567E-2</v>
      </c>
      <c r="I13" s="360">
        <f>IF(ISNUMBER((Tasas!C13-Datos!BE13)/Datos!BE13),(Tasas!C13-Datos!BE13)/Datos!BE13," - ")</f>
        <v>-1.0513971285641743E-2</v>
      </c>
      <c r="J13" s="358">
        <f>IF(ISNUMBER((Tasas!D13-Datos!BF13)/Datos!BF13),(Tasas!D13-Datos!BF13)/Datos!BF13," - ")</f>
        <v>-0.25144131405859804</v>
      </c>
      <c r="K13" s="361">
        <f>IF(ISNUMBER((Tasas!E13-Datos!BG13)/Datos!BG13),(Tasas!E13-Datos!BG13)/Datos!BG13," - ")</f>
        <v>-4.4047600969837957E-3</v>
      </c>
      <c r="M13" t="e">
        <f>IF(Monitorios="SI",Datos!CE13,0)</f>
        <v>#REF!</v>
      </c>
      <c r="N13" t="e">
        <f>IF(Monitorios="SI",Datos!CF13,0)</f>
        <v>#REF!</v>
      </c>
      <c r="O13" t="e">
        <f>IF(Monitorios="SI",Datos!CG13,0)</f>
        <v>#REF!</v>
      </c>
      <c r="P13" t="e">
        <f>IF(Monitorios="SI",Datos!CH13,0)</f>
        <v>#REF!</v>
      </c>
      <c r="Q13">
        <f>IF(J_V="SI",0,Datos!AG13)</f>
        <v>165</v>
      </c>
      <c r="R13">
        <f>IF(J_V="SI",0,Datos!AH13)</f>
        <v>1263</v>
      </c>
      <c r="S13">
        <f>IF(J_V="SI",0,Datos!AI13)</f>
        <v>1189</v>
      </c>
      <c r="T13">
        <f>IF(J_V="SI",0,Datos!AJ13)</f>
        <v>243</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8.4855627578078963E-2</v>
      </c>
      <c r="E15" s="351">
        <f>IF(ISNUMBER(
   IF(D_I="SI",(Datos!J15-Datos!T15)/Datos!T15,(Datos!J15+Datos!AD15-(Datos!T15+Datos!AL15))/(Datos!T15+Datos!AL15))
     ),IF(D_I="SI",(Datos!J15-Datos!T15)/Datos!T15,(Datos!J15+Datos!AD15-(Datos!T15+Datos!AL15))/(Datos!T15+Datos!AL15))," - ")</f>
        <v>0.17707082833133253</v>
      </c>
      <c r="F15" s="351">
        <f>IF(ISNUMBER(
   IF(D_I="SI",(Datos!K15-Datos!U15)/Datos!U15,(Datos!K15+Datos!AE15-(Datos!U15+Datos!AM15))/(Datos!U15+Datos!AM15))
     ),IF(D_I="SI",(Datos!K15-Datos!U15)/Datos!U15,(Datos!K15+Datos!AE15-(Datos!U15+Datos!AM15))/(Datos!U15+Datos!AM15))," - ")</f>
        <v>0.11628405921476079</v>
      </c>
      <c r="G15" s="352">
        <f>IF(ISNUMBER(
   IF(D_I="SI",(Datos!L15-Datos!V15)/Datos!V15,(Datos!L15+Datos!AF15-(Datos!V15+Datos!AN15))/(Datos!V15+Datos!AN15))
     ),IF(D_I="SI",(Datos!L15-Datos!V15)/Datos!V15,(Datos!L15+Datos!AF15-(Datos!V15+Datos!AN15))/(Datos!V15+Datos!AN15))," - ")</f>
        <v>0.1808799565453558</v>
      </c>
      <c r="H15" s="233">
        <f>IF(ISNUMBER((Datos!M15-Datos!W15)/Datos!W15),(Datos!M15-Datos!W15)/Datos!W15," - ")</f>
        <v>6.55307994757536E-3</v>
      </c>
      <c r="I15" s="353">
        <f>IF(ISNUMBER((Tasas!C15-Datos!BE15)/Datos!BE15),(Tasas!C15-Datos!BE15)/Datos!BE15," - ")</f>
        <v>5.7866899376879284E-2</v>
      </c>
      <c r="J15" s="352">
        <f>IF(ISNUMBER((Tasas!D15-Datos!BF15)/Datos!BF15),(Tasas!D15-Datos!BF15)/Datos!BF15," - ")</f>
        <v>-9.8300229553017648E-2</v>
      </c>
      <c r="K15" s="354">
        <f>IF(ISNUMBER((Tasas!E15-Datos!BG15)/Datos!BG15),(Tasas!E15-Datos!BG15)/Datos!BG15," - ")</f>
        <v>3.351542031317882E-2</v>
      </c>
    </row>
    <row r="16" spans="2:20" ht="14.25">
      <c r="B16" s="278" t="s">
        <v>392</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6.5934065934065936E-2</v>
      </c>
      <c r="E17" s="351">
        <f>IF(ISNUMBER(
   IF(D_I="SI",(Datos!J17-Datos!T17)/Datos!T17,(Datos!J17+Datos!AD17-(Datos!T17+Datos!AL17))/(Datos!T17+Datos!AL17))
     ),IF(D_I="SI",(Datos!J17-Datos!T17)/Datos!T17,(Datos!J17+Datos!AD17-(Datos!T17+Datos!AL17))/(Datos!T17+Datos!AL17))," - ")</f>
        <v>4.3103448275862072E-2</v>
      </c>
      <c r="F17" s="351">
        <f>IF(ISNUMBER(
   IF(D_I="SI",(Datos!K17-Datos!U17)/Datos!U17,(Datos!K17+Datos!AE17-(Datos!U17+Datos!AM17))/(Datos!U17+Datos!AM17))
     ),IF(D_I="SI",(Datos!K17-Datos!U17)/Datos!U17,(Datos!K17+Datos!AE17-(Datos!U17+Datos!AM17))/(Datos!U17+Datos!AM17))," - ")</f>
        <v>9.5132743362831854E-2</v>
      </c>
      <c r="G17" s="352">
        <f>IF(ISNUMBER(
   IF(D_I="SI",(Datos!L17-Datos!V17)/Datos!V17,(Datos!L17+Datos!AF17-(Datos!V17+Datos!AN17))/(Datos!V17+Datos!AN17))
     ),IF(D_I="SI",(Datos!L17-Datos!V17)/Datos!V17,(Datos!L17+Datos!AF17-(Datos!V17+Datos!AN17))/(Datos!V17+Datos!AN17))," - ")</f>
        <v>-5.6701030927835051E-2</v>
      </c>
      <c r="H17" s="233">
        <f>IF(ISNUMBER((Datos!M17-Datos!W17)/Datos!W17),(Datos!M17-Datos!W17)/Datos!W17," - ")</f>
        <v>-0.65384615384615385</v>
      </c>
      <c r="I17" s="353">
        <f>IF(ISNUMBER((Tasas!C17-Datos!BE17)/Datos!BE17),(Tasas!C17-Datos!BE17)/Datos!BE17," - ")</f>
        <v>-0.1386441736957201</v>
      </c>
      <c r="J17" s="352">
        <f>IF(ISNUMBER((Tasas!D17-Datos!BF17)/Datos!BF17),(Tasas!D17-Datos!BF17)/Datos!BF17," - ")</f>
        <v>-0.68391608391608394</v>
      </c>
      <c r="K17" s="354">
        <f>IF(ISNUMBER((Tasas!E17-Datos!BG17)/Datos!BG17),(Tasas!E17-Datos!BG17)/Datos!BG17," - ")</f>
        <v>-4.1636176001501046E-2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8.3022884513038853E-2</v>
      </c>
      <c r="E18" s="357">
        <f>IF(ISNUMBER(
   IF(D_I="SI",(Datos!J18-Datos!T18)/Datos!T18,(Datos!J18+Datos!AD18-(Datos!T18+Datos!AL18))/(Datos!T18+Datos!AL18))
     ),IF(D_I="SI",(Datos!J18-Datos!T18)/Datos!T18,(Datos!J18+Datos!AD18-(Datos!T18+Datos!AL18))/(Datos!T18+Datos!AL18))," - ")</f>
        <v>0.16569022336140607</v>
      </c>
      <c r="F18" s="357">
        <f>IF(ISNUMBER(
   IF(D_I="SI",(Datos!K18-Datos!U18)/Datos!U18,(Datos!K18+Datos!AE18-(Datos!U18+Datos!AM18))/(Datos!U18+Datos!AM18))
     ),IF(D_I="SI",(Datos!K18-Datos!U18)/Datos!U18,(Datos!K18+Datos!AE18-(Datos!U18+Datos!AM18))/(Datos!U18+Datos!AM18))," - ")</f>
        <v>0.11441423821631136</v>
      </c>
      <c r="G18" s="358">
        <f>IF(ISNUMBER(
   IF(D_I="SI",(Datos!L18-Datos!V18)/Datos!V18,(Datos!L18+Datos!AF18-(Datos!V18+Datos!AN18))/(Datos!V18+Datos!AN18))
     ),IF(D_I="SI",(Datos!L18-Datos!V18)/Datos!V18,(Datos!L18+Datos!AF18-(Datos!V18+Datos!AN18))/(Datos!V18+Datos!AN18))," - ")</f>
        <v>0.15823095823095823</v>
      </c>
      <c r="H18" s="359">
        <f>IF(ISNUMBER((Datos!M18-Datos!W18)/Datos!W18),(Datos!M18-Datos!W18)/Datos!W18," - ")</f>
        <v>-1.5209125475285171E-2</v>
      </c>
      <c r="I18" s="360">
        <f>IF(ISNUMBER((Tasas!C18-Datos!BE18)/Datos!BE18),(Tasas!C18-Datos!BE18)/Datos!BE18," - ")</f>
        <v>3.9318162413985412E-2</v>
      </c>
      <c r="J18" s="358">
        <f>IF(ISNUMBER((Tasas!D18-Datos!BF18)/Datos!BF18),(Tasas!D18-Datos!BF18)/Datos!BF18," - ")</f>
        <v>-0.11631524369166969</v>
      </c>
      <c r="K18" s="361">
        <f>IF(ISNUMBER((Tasas!E18-Datos!BG18)/Datos!BG18),(Tasas!E18-Datos!BG18)/Datos!BG18," - ")</f>
        <v>2.7024492901076495E-2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9.7812773403324588E-2</v>
      </c>
      <c r="E19" s="366">
        <f>IF(ISNUMBER(
   IF(J_V="SI",(Datos!J19-Datos!T19)/Datos!T19,(Datos!J19+Datos!Z19-(Datos!T19+Datos!AH19))/(Datos!T19+Datos!AH19))
     ),IF(J_V="SI",(Datos!J19-Datos!T19)/Datos!T19,(Datos!J19+Datos!Z19-(Datos!T19+Datos!AH19))/(Datos!T19+Datos!AH19))," - ")</f>
        <v>9.6013313074307216E-2</v>
      </c>
      <c r="F19" s="366">
        <f>IF(ISNUMBER(
   IF(J_V="SI",(Datos!K19-Datos!U19)/Datos!U19,(Datos!K19+Datos!AA19-(Datos!U19+Datos!AI19))/(Datos!U19+Datos!AI19))
     ),IF(J_V="SI",(Datos!K19-Datos!U19)/Datos!U19,(Datos!K19+Datos!AA19-(Datos!U19+Datos!AI19))/(Datos!U19+Datos!AI19))," - ")</f>
        <v>8.8853112542164978E-2</v>
      </c>
      <c r="G19" s="367">
        <f>IF(ISNUMBER(
   IF(J_V="SI",(Datos!L19-Datos!V19)/Datos!V19,(Datos!L19+Datos!AB19-(Datos!V19+Datos!AJ19))/(Datos!V19+Datos!AJ19))
     ),IF(J_V="SI",(Datos!L19-Datos!V19)/Datos!V19,(Datos!L19+Datos!AB19-(Datos!V19+Datos!AJ19))/(Datos!V19+Datos!AJ19))," - ")</f>
        <v>9.2604399107427474E-2</v>
      </c>
      <c r="H19" s="368">
        <f>IF(ISNUMBER((Datos!M19-Datos!W19)/Datos!W19),(Datos!M19-Datos!W19)/Datos!W19," - ")</f>
        <v>3.8205980066445183E-2</v>
      </c>
      <c r="I19" s="365">
        <f>IF(ISNUMBER((Tasas!C19-Datos!BE19)/Datos!BE19),(Tasas!C19-Datos!BE19)/Datos!BE19," - ")</f>
        <v>3.4451722845373245E-3</v>
      </c>
      <c r="J19" s="366">
        <f>IF(ISNUMBER((Tasas!D19-Datos!BF19)/Datos!BF19),(Tasas!D19-Datos!BF19)/Datos!BF19," - ")</f>
        <v>-0.22725033517572404</v>
      </c>
      <c r="K19" s="367">
        <f>IF(ISNUMBER((Tasas!E19-Datos!BG19)/Datos!BG19),(Tasas!E19-Datos!BG19)/Datos!BG19," - ")</f>
        <v>7.0593626532513172E-3</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4.0256555309410469E-2</v>
      </c>
      <c r="E21" s="281">
        <f t="shared" si="1"/>
        <v>0.19107452038456507</v>
      </c>
      <c r="F21" s="281">
        <f t="shared" si="1"/>
        <v>8.6847671569184562E-2</v>
      </c>
      <c r="G21" s="282">
        <f t="shared" si="1"/>
        <v>0.19825173137930044</v>
      </c>
      <c r="H21" s="288">
        <f t="shared" si="1"/>
        <v>0.39054318004263266</v>
      </c>
      <c r="I21" s="280">
        <f t="shared" si="1"/>
        <v>0.19276334548381452</v>
      </c>
      <c r="J21" s="281">
        <f t="shared" si="1"/>
        <v>0.40864082446338434</v>
      </c>
      <c r="K21" s="282">
        <f t="shared" si="1"/>
        <v>0.58848266618679845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UPMyOgGyHGdlqpBQAcVnmBMFXcpPMUn36jG2WEFAnX3SPUXHo2qes4kOOW5xND4mEIDRU6WwsA+9H6YbLIhRQ==" saltValue="VjL7HSyqEaAoSDqI9xG1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